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3180" yWindow="720" windowWidth="22650" windowHeight="14130" tabRatio="579"/>
  </bookViews>
  <sheets>
    <sheet name="Metrics" sheetId="5" r:id="rId1"/>
    <sheet name="Milestones" sheetId="6" r:id="rId2"/>
    <sheet name="Manpower Q1 15" sheetId="12" r:id="rId3"/>
    <sheet name="Manpower Q2 15" sheetId="13" r:id="rId4"/>
    <sheet name="Narrative" sheetId="4" r:id="rId5"/>
    <sheet name="EVAL" sheetId="8" r:id="rId6"/>
  </sheets>
  <definedNames>
    <definedName name="_xlnm._FilterDatabase" localSheetId="0" hidden="1">Metrics!$A$8:$X$52</definedName>
    <definedName name="_xlnm._FilterDatabase" localSheetId="1" hidden="1">Milestones!$8:$35</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N17" i="13" l="1"/>
  <c r="N15" i="13"/>
  <c r="N14" i="13"/>
  <c r="N12" i="13"/>
  <c r="N11" i="13"/>
  <c r="N10" i="13"/>
  <c r="W23" i="5" l="1"/>
  <c r="D4" i="13"/>
  <c r="W30" i="5"/>
  <c r="W29" i="5"/>
  <c r="V30" i="5"/>
  <c r="V29" i="5"/>
  <c r="W19" i="5"/>
  <c r="V19" i="5"/>
  <c r="W17" i="5"/>
  <c r="W16" i="5"/>
  <c r="W15" i="5"/>
  <c r="W14" i="5"/>
  <c r="V11" i="5"/>
  <c r="W11" i="5"/>
  <c r="V17" i="5"/>
  <c r="V16" i="5"/>
  <c r="V15" i="5"/>
  <c r="V14" i="5"/>
  <c r="V35" i="5"/>
  <c r="V13" i="5"/>
  <c r="W52" i="5"/>
  <c r="V52" i="5"/>
  <c r="W13" i="5"/>
  <c r="W45" i="5"/>
  <c r="W43" i="5"/>
  <c r="W41" i="5"/>
  <c r="W39" i="5"/>
  <c r="W38" i="5"/>
  <c r="V36" i="5"/>
  <c r="W36" i="5"/>
  <c r="W35" i="5"/>
  <c r="W34" i="5"/>
  <c r="W33" i="5"/>
  <c r="W32" i="5"/>
  <c r="V34" i="5"/>
  <c r="V32" i="5"/>
  <c r="V33" i="5"/>
  <c r="W31" i="5"/>
  <c r="W28" i="5"/>
  <c r="W27" i="5"/>
  <c r="W26" i="5"/>
  <c r="W25" i="5"/>
  <c r="W10" i="5"/>
  <c r="W9" i="5"/>
  <c r="W51" i="5"/>
  <c r="V51" i="5"/>
  <c r="V50" i="5"/>
  <c r="W50" i="5"/>
  <c r="W49" i="5"/>
  <c r="V49" i="5"/>
  <c r="V48" i="5"/>
  <c r="W48" i="5"/>
  <c r="W47" i="5"/>
  <c r="V47" i="5"/>
  <c r="V38" i="5"/>
  <c r="V45" i="5"/>
  <c r="V43" i="5"/>
  <c r="V39" i="5"/>
  <c r="V41" i="5"/>
  <c r="V31" i="5"/>
  <c r="V28" i="5"/>
  <c r="V27" i="5"/>
  <c r="V26" i="5"/>
  <c r="V25" i="5"/>
  <c r="V10" i="5"/>
  <c r="V9" i="5"/>
  <c r="K18" i="13"/>
  <c r="J18" i="13"/>
  <c r="I18" i="13"/>
  <c r="H18" i="13"/>
  <c r="G18" i="13"/>
  <c r="F18" i="13"/>
  <c r="O17" i="13"/>
  <c r="O16" i="13"/>
  <c r="N16" i="13"/>
  <c r="O15" i="13"/>
  <c r="O14" i="13"/>
  <c r="N13" i="13"/>
  <c r="O12" i="13"/>
  <c r="O11" i="13"/>
  <c r="O10" i="13"/>
  <c r="B4" i="13"/>
  <c r="L17" i="12"/>
  <c r="L12" i="12"/>
  <c r="L14" i="12"/>
  <c r="L16" i="12"/>
  <c r="L15" i="12"/>
  <c r="L11" i="12"/>
  <c r="L10" i="12"/>
  <c r="I18" i="12"/>
  <c r="H18" i="12"/>
  <c r="G18" i="12"/>
  <c r="F18" i="12"/>
  <c r="E18" i="12"/>
  <c r="D18" i="12"/>
  <c r="M17" i="12"/>
  <c r="M16" i="12"/>
  <c r="M15" i="12"/>
  <c r="M14" i="12"/>
  <c r="L13" i="12"/>
  <c r="M12" i="12"/>
  <c r="M11" i="12"/>
  <c r="M10" i="12"/>
  <c r="T52" i="5"/>
  <c r="T51" i="5"/>
  <c r="T50" i="5"/>
  <c r="T49" i="5"/>
  <c r="T48" i="5"/>
  <c r="T47" i="5"/>
  <c r="T45" i="5"/>
  <c r="T43" i="5"/>
  <c r="T41" i="5"/>
  <c r="T39" i="5"/>
  <c r="T38" i="5"/>
  <c r="T36" i="5"/>
  <c r="T35" i="5"/>
  <c r="T34" i="5"/>
  <c r="T33" i="5"/>
  <c r="T32" i="5"/>
  <c r="T31" i="5"/>
  <c r="T30" i="5"/>
  <c r="T29" i="5"/>
  <c r="T28" i="5"/>
  <c r="T27" i="5"/>
  <c r="T26" i="5"/>
  <c r="T25" i="5"/>
  <c r="T19" i="5"/>
  <c r="T17" i="5"/>
  <c r="T16" i="5"/>
  <c r="T15" i="5"/>
  <c r="T14" i="5"/>
  <c r="T13" i="5"/>
  <c r="T12" i="5"/>
  <c r="T11" i="5"/>
  <c r="T10" i="5"/>
  <c r="T9" i="5"/>
  <c r="U52" i="5"/>
  <c r="U51" i="5"/>
  <c r="U50" i="5"/>
  <c r="U49" i="5"/>
  <c r="U48" i="5"/>
  <c r="U47" i="5"/>
  <c r="U45" i="5"/>
  <c r="U43" i="5"/>
  <c r="U41" i="5"/>
  <c r="U39" i="5"/>
  <c r="U38" i="5"/>
  <c r="U36" i="5"/>
  <c r="U35" i="5"/>
  <c r="U34" i="5"/>
  <c r="U33" i="5"/>
  <c r="U32" i="5"/>
  <c r="U31" i="5"/>
  <c r="U30" i="5"/>
  <c r="U29" i="5"/>
  <c r="U28" i="5"/>
  <c r="U27" i="5"/>
  <c r="U26" i="5"/>
  <c r="U25" i="5"/>
  <c r="U19" i="5"/>
  <c r="U17" i="5"/>
  <c r="U16" i="5"/>
  <c r="U15" i="5"/>
  <c r="U14" i="5"/>
  <c r="U13" i="5"/>
  <c r="U11" i="5"/>
  <c r="U10" i="5"/>
  <c r="U9" i="5"/>
  <c r="S52" i="5"/>
  <c r="S51" i="5"/>
  <c r="S50" i="5"/>
  <c r="S49" i="5"/>
  <c r="S48" i="5"/>
  <c r="S47" i="5"/>
  <c r="S45" i="5"/>
  <c r="S43" i="5"/>
  <c r="S41" i="5"/>
  <c r="S39" i="5"/>
  <c r="S38" i="5"/>
  <c r="S36" i="5"/>
  <c r="S35" i="5"/>
  <c r="S34" i="5"/>
  <c r="S33" i="5"/>
  <c r="S32" i="5"/>
  <c r="S31" i="5"/>
  <c r="S30" i="5"/>
  <c r="S29" i="5"/>
  <c r="S28" i="5"/>
  <c r="S27" i="5"/>
  <c r="S26" i="5"/>
  <c r="S25" i="5"/>
  <c r="S19" i="5"/>
  <c r="S17" i="5"/>
  <c r="S16" i="5"/>
  <c r="S15" i="5"/>
  <c r="S14" i="5"/>
  <c r="S13" i="5"/>
  <c r="S12" i="5"/>
  <c r="S11" i="5"/>
  <c r="S10" i="5"/>
  <c r="S9" i="5"/>
  <c r="B4" i="4"/>
  <c r="R52" i="5"/>
  <c r="R51" i="5"/>
  <c r="R50" i="5"/>
  <c r="R49" i="5"/>
  <c r="R48" i="5"/>
  <c r="R47" i="5"/>
  <c r="R45" i="5"/>
  <c r="R43" i="5"/>
  <c r="R41" i="5"/>
  <c r="R39" i="5"/>
  <c r="R38" i="5"/>
  <c r="R36" i="5"/>
  <c r="R35" i="5"/>
  <c r="R34" i="5"/>
  <c r="R33" i="5"/>
  <c r="R32" i="5"/>
  <c r="R31" i="5"/>
  <c r="R30" i="5"/>
  <c r="R29" i="5"/>
  <c r="R28" i="5"/>
  <c r="R27" i="5"/>
  <c r="R26" i="5"/>
  <c r="R25" i="5"/>
  <c r="R19" i="5"/>
  <c r="R17" i="5"/>
  <c r="R16" i="5"/>
  <c r="R15" i="5"/>
  <c r="R14" i="5"/>
  <c r="R13" i="5"/>
  <c r="R12" i="5"/>
  <c r="R11" i="5"/>
  <c r="R10" i="5"/>
  <c r="R9" i="5"/>
  <c r="Q32" i="5"/>
  <c r="Q52" i="5"/>
  <c r="Q26" i="5"/>
  <c r="Q36" i="5"/>
  <c r="Q31" i="5"/>
  <c r="Q30" i="5"/>
  <c r="Q29" i="5"/>
  <c r="Q35" i="5"/>
  <c r="Q34" i="5"/>
  <c r="Q33" i="5"/>
  <c r="Q48" i="5"/>
  <c r="Q19" i="5"/>
  <c r="Q17" i="5"/>
  <c r="Q16" i="5"/>
  <c r="Q15" i="5"/>
  <c r="Q14" i="5"/>
  <c r="Q11" i="5"/>
  <c r="Q13" i="5"/>
  <c r="Q12" i="5"/>
  <c r="Q51" i="5"/>
  <c r="Q50" i="5"/>
  <c r="Q49" i="5"/>
  <c r="Q28" i="5"/>
  <c r="Q27" i="5"/>
  <c r="Q10" i="5"/>
  <c r="Q25" i="5"/>
  <c r="Q9" i="5"/>
  <c r="Q47" i="5"/>
  <c r="Q38" i="5"/>
  <c r="Q45" i="5"/>
  <c r="Q43" i="5"/>
  <c r="Q39" i="5"/>
  <c r="Q41" i="5"/>
  <c r="P52" i="5"/>
  <c r="P51" i="5"/>
  <c r="P50" i="5"/>
  <c r="P49" i="5"/>
  <c r="P48" i="5"/>
  <c r="P47" i="5"/>
  <c r="P45" i="5"/>
  <c r="P43" i="5"/>
  <c r="P41" i="5"/>
  <c r="P39" i="5"/>
  <c r="P38" i="5"/>
  <c r="P36" i="5"/>
  <c r="P35" i="5"/>
  <c r="P34" i="5"/>
  <c r="P33" i="5"/>
  <c r="P32" i="5"/>
  <c r="P31" i="5"/>
  <c r="P30" i="5"/>
  <c r="P29" i="5"/>
  <c r="P28" i="5"/>
  <c r="P27" i="5"/>
  <c r="O27" i="5"/>
  <c r="P26" i="5"/>
  <c r="P25" i="5"/>
  <c r="P19" i="5"/>
  <c r="P17" i="5"/>
  <c r="P16" i="5"/>
  <c r="P15" i="5"/>
  <c r="P14" i="5"/>
  <c r="P13" i="5"/>
  <c r="P12" i="5"/>
  <c r="P11" i="5"/>
  <c r="P10" i="5"/>
  <c r="P9" i="5"/>
  <c r="O46" i="5"/>
  <c r="O44" i="5"/>
  <c r="O40" i="5"/>
  <c r="O42" i="5"/>
  <c r="O23" i="5"/>
  <c r="O52" i="5"/>
  <c r="O51" i="5"/>
  <c r="O50" i="5"/>
  <c r="O49" i="5"/>
  <c r="N49" i="5"/>
  <c r="O48" i="5"/>
  <c r="O47" i="5"/>
  <c r="O19" i="5"/>
  <c r="O17" i="5"/>
  <c r="O16" i="5"/>
  <c r="O15" i="5"/>
  <c r="O14" i="5"/>
  <c r="N14" i="5"/>
  <c r="O13" i="5"/>
  <c r="O12" i="5"/>
  <c r="O11" i="5"/>
  <c r="O38" i="5"/>
  <c r="O36" i="5"/>
  <c r="O35" i="5"/>
  <c r="O34" i="5"/>
  <c r="O32" i="5"/>
  <c r="O33" i="5"/>
  <c r="O31" i="5"/>
  <c r="O30" i="5"/>
  <c r="O29" i="5"/>
  <c r="O45" i="5"/>
  <c r="O43" i="5"/>
  <c r="O41" i="5"/>
  <c r="O39" i="5"/>
  <c r="O10" i="5"/>
  <c r="O28" i="5"/>
  <c r="N27" i="5"/>
  <c r="O26" i="5"/>
  <c r="O25" i="5"/>
  <c r="O9" i="5"/>
  <c r="N46" i="5"/>
  <c r="N44" i="5"/>
  <c r="N42" i="5"/>
  <c r="N40" i="5"/>
  <c r="N23" i="5"/>
  <c r="N28" i="5"/>
  <c r="N25" i="5"/>
  <c r="N26" i="5"/>
  <c r="N19" i="5"/>
  <c r="N17" i="5"/>
  <c r="N16" i="5"/>
  <c r="N15" i="5"/>
  <c r="N13" i="5"/>
  <c r="N12" i="5"/>
  <c r="N11" i="5"/>
  <c r="N10" i="5"/>
  <c r="N9" i="5"/>
  <c r="N35" i="5"/>
  <c r="N34" i="5"/>
  <c r="N33" i="5"/>
  <c r="N32" i="5"/>
  <c r="N36" i="5"/>
  <c r="N38" i="5"/>
  <c r="N31" i="5"/>
  <c r="N30" i="5"/>
  <c r="N29" i="5"/>
  <c r="N52" i="5"/>
  <c r="N51" i="5"/>
  <c r="N50" i="5"/>
  <c r="N48" i="5"/>
  <c r="N47" i="5"/>
  <c r="M47" i="5"/>
  <c r="N45" i="5"/>
  <c r="N43" i="5"/>
  <c r="N41" i="5"/>
  <c r="N39" i="5"/>
  <c r="M25" i="5"/>
  <c r="M9" i="5"/>
  <c r="M23" i="5"/>
  <c r="M19" i="5"/>
  <c r="M17" i="5"/>
  <c r="M16" i="5"/>
  <c r="M15" i="5"/>
  <c r="M14" i="5"/>
  <c r="M12" i="5"/>
  <c r="M11" i="5"/>
  <c r="M10" i="5"/>
  <c r="M51" i="5"/>
  <c r="M50" i="5"/>
  <c r="M49" i="5"/>
  <c r="M28" i="5"/>
  <c r="M27" i="5"/>
  <c r="M35" i="5"/>
  <c r="M34" i="5"/>
  <c r="M32" i="5"/>
  <c r="M33" i="5"/>
  <c r="M36" i="5"/>
  <c r="M52" i="5"/>
  <c r="M31" i="5"/>
  <c r="L30" i="5"/>
  <c r="M30" i="5"/>
  <c r="M48" i="5"/>
  <c r="M45" i="5"/>
  <c r="M43" i="5"/>
  <c r="M41" i="5"/>
  <c r="M39" i="5"/>
  <c r="M38" i="5"/>
  <c r="L52" i="5"/>
  <c r="L51" i="5"/>
  <c r="L50" i="5"/>
  <c r="L49" i="5"/>
  <c r="L48" i="5"/>
  <c r="L47" i="5"/>
  <c r="L46" i="5"/>
  <c r="L45" i="5"/>
  <c r="L44" i="5"/>
  <c r="L43" i="5"/>
  <c r="L42" i="5"/>
  <c r="L41" i="5"/>
  <c r="L40" i="5"/>
  <c r="L39" i="5"/>
  <c r="L38" i="5"/>
  <c r="L36" i="5"/>
  <c r="L35" i="5"/>
  <c r="L34" i="5"/>
  <c r="L33" i="5"/>
  <c r="L32" i="5"/>
  <c r="L31" i="5"/>
  <c r="L29" i="5"/>
  <c r="L28" i="5"/>
  <c r="L27" i="5"/>
  <c r="L26" i="5"/>
  <c r="L25" i="5"/>
  <c r="L23" i="5"/>
  <c r="L19" i="5"/>
  <c r="L18" i="5"/>
  <c r="L17" i="5"/>
  <c r="L16" i="5"/>
  <c r="L15" i="5"/>
  <c r="L14" i="5"/>
  <c r="L13" i="5"/>
  <c r="L12" i="5"/>
  <c r="L11" i="5"/>
  <c r="L10" i="5"/>
  <c r="L9" i="5"/>
  <c r="K52" i="5"/>
  <c r="K51" i="5"/>
  <c r="K50" i="5"/>
  <c r="K49" i="5"/>
  <c r="K48" i="5"/>
  <c r="K47" i="5"/>
  <c r="K46" i="5"/>
  <c r="K45" i="5"/>
  <c r="K43" i="5"/>
  <c r="K41" i="5"/>
  <c r="K39" i="5"/>
  <c r="K38" i="5"/>
  <c r="K36" i="5"/>
  <c r="K35" i="5"/>
  <c r="K34" i="5"/>
  <c r="K33" i="5"/>
  <c r="K32" i="5"/>
  <c r="K31" i="5"/>
  <c r="K30" i="5"/>
  <c r="K29" i="5"/>
  <c r="K28" i="5"/>
  <c r="K27" i="5"/>
  <c r="K26" i="5"/>
  <c r="K25" i="5"/>
  <c r="K23" i="5"/>
  <c r="K19" i="5"/>
  <c r="K18" i="5"/>
  <c r="K17" i="5"/>
  <c r="K16" i="5"/>
  <c r="K15" i="5"/>
  <c r="K14" i="5"/>
  <c r="K13" i="5"/>
  <c r="K12" i="5"/>
  <c r="K11" i="5"/>
  <c r="K10" i="5"/>
  <c r="K9" i="5"/>
  <c r="M13" i="5"/>
  <c r="J30" i="5"/>
  <c r="M26" i="5"/>
  <c r="J52" i="5"/>
  <c r="J51" i="5"/>
  <c r="J50" i="5"/>
  <c r="J49" i="5"/>
  <c r="J48" i="5"/>
  <c r="J47" i="5"/>
  <c r="J46" i="5"/>
  <c r="J45" i="5"/>
  <c r="J44" i="5"/>
  <c r="J43" i="5"/>
  <c r="J42" i="5"/>
  <c r="J41" i="5"/>
  <c r="J40" i="5"/>
  <c r="J39" i="5"/>
  <c r="J38" i="5"/>
  <c r="J36" i="5"/>
  <c r="J35" i="5"/>
  <c r="J34" i="5"/>
  <c r="J33" i="5"/>
  <c r="J32" i="5"/>
  <c r="J31" i="5"/>
  <c r="J29" i="5"/>
  <c r="J28" i="5"/>
  <c r="J27" i="5"/>
  <c r="J23" i="5"/>
  <c r="J19" i="5"/>
  <c r="J18" i="5"/>
  <c r="J17" i="5"/>
  <c r="J16" i="5"/>
  <c r="J15" i="5"/>
  <c r="J14" i="5"/>
  <c r="J13" i="5"/>
  <c r="J12" i="5"/>
  <c r="J11" i="5"/>
  <c r="J10" i="5"/>
  <c r="I46" i="5"/>
  <c r="M29" i="5"/>
  <c r="I42" i="5"/>
  <c r="I44" i="5"/>
  <c r="I43" i="5"/>
  <c r="I41" i="5"/>
  <c r="H41" i="5"/>
  <c r="I52" i="5"/>
  <c r="I51" i="5"/>
  <c r="I50" i="5"/>
  <c r="I49" i="5"/>
  <c r="I48" i="5"/>
  <c r="I47" i="5"/>
  <c r="I45" i="5"/>
  <c r="I39" i="5"/>
  <c r="I38" i="5"/>
  <c r="I36" i="5"/>
  <c r="I35" i="5"/>
  <c r="I34" i="5"/>
  <c r="I33" i="5"/>
  <c r="I32" i="5"/>
  <c r="I31" i="5"/>
  <c r="I30" i="5"/>
  <c r="I29" i="5"/>
  <c r="I28" i="5"/>
  <c r="I25" i="5"/>
  <c r="I27" i="5"/>
  <c r="I26" i="5"/>
  <c r="I13" i="5"/>
  <c r="I12" i="5"/>
  <c r="I9" i="5"/>
  <c r="I23" i="5"/>
  <c r="I19" i="5"/>
  <c r="I18" i="5"/>
  <c r="I17" i="5"/>
  <c r="I16" i="5"/>
  <c r="I15" i="5"/>
  <c r="I14" i="5"/>
  <c r="I11" i="5"/>
  <c r="I10" i="5"/>
  <c r="H35" i="5"/>
  <c r="H36" i="5"/>
  <c r="H34" i="5"/>
  <c r="H33" i="5"/>
  <c r="H32" i="5"/>
  <c r="F44" i="5"/>
  <c r="F42" i="5"/>
  <c r="H46" i="5"/>
  <c r="G46" i="5"/>
  <c r="H44" i="5"/>
  <c r="G44" i="5"/>
  <c r="H42" i="5"/>
  <c r="G42" i="5"/>
  <c r="F52" i="5"/>
  <c r="H52" i="5"/>
  <c r="H51" i="5"/>
  <c r="H50" i="5"/>
  <c r="H49" i="5"/>
  <c r="H48" i="5"/>
  <c r="H47" i="5"/>
  <c r="H43" i="5"/>
  <c r="H45" i="5"/>
  <c r="H39" i="5"/>
  <c r="H38" i="5"/>
  <c r="H31" i="5"/>
  <c r="H30" i="5"/>
  <c r="H29" i="5"/>
  <c r="H28" i="5"/>
  <c r="H27" i="5"/>
  <c r="H26" i="5"/>
  <c r="H25" i="5"/>
  <c r="H23" i="5"/>
  <c r="H19" i="5"/>
  <c r="H18" i="5"/>
  <c r="H17" i="5"/>
  <c r="H16" i="5"/>
  <c r="H15" i="5"/>
  <c r="H14" i="5"/>
  <c r="H13" i="5"/>
  <c r="H12" i="5"/>
  <c r="H11" i="5"/>
  <c r="H10" i="5"/>
  <c r="G10" i="5"/>
  <c r="H9" i="5"/>
  <c r="G9" i="5"/>
  <c r="G52" i="5"/>
  <c r="G51" i="5"/>
  <c r="G50" i="5"/>
  <c r="G49" i="5"/>
  <c r="G47" i="5"/>
  <c r="G45" i="5"/>
  <c r="G43" i="5"/>
  <c r="G41" i="5"/>
  <c r="G39" i="5"/>
  <c r="G38" i="5"/>
  <c r="G36" i="5"/>
  <c r="G35" i="5"/>
  <c r="G34" i="5"/>
  <c r="G33" i="5"/>
  <c r="G32" i="5"/>
  <c r="G30" i="5"/>
  <c r="G29" i="5"/>
  <c r="G28" i="5"/>
  <c r="G27" i="5"/>
  <c r="G26" i="5"/>
  <c r="G25" i="5"/>
  <c r="G23" i="5"/>
  <c r="G19" i="5"/>
  <c r="G18" i="5"/>
  <c r="G17" i="5"/>
  <c r="G16" i="5"/>
  <c r="G15" i="5"/>
  <c r="G14" i="5"/>
  <c r="G13" i="5"/>
  <c r="G11" i="5"/>
  <c r="G12" i="5"/>
  <c r="B3" i="6"/>
  <c r="B4" i="6"/>
  <c r="B5" i="6"/>
  <c r="B3" i="4"/>
  <c r="B5" i="4"/>
</calcChain>
</file>

<file path=xl/comments1.xml><?xml version="1.0" encoding="utf-8"?>
<comments xmlns="http://schemas.openxmlformats.org/spreadsheetml/2006/main">
  <authors>
    <author>Andrew Sansum</author>
  </authors>
  <commentList>
    <comment ref="G34" authorId="0">
      <text>
        <r>
          <rPr>
            <b/>
            <sz val="8"/>
            <color indexed="81"/>
            <rFont val="Tahoma"/>
            <family val="2"/>
          </rPr>
          <t>Andrew Sansum:</t>
        </r>
        <r>
          <rPr>
            <sz val="8"/>
            <color indexed="81"/>
            <rFont val="Tahoma"/>
            <family val="2"/>
          </rPr>
          <t xml:space="preserve">
There were a number of CASTOR issues during June:
2011-06-20: CMS LSF accidently switched off
2011-06-21: DB deadlock due to incident the previous day, causing SAM tests to fail
2011-06-25/26: Oracle DB problems
2011-06-27: problems with cmsWanIn. To fix this, shared memory was cleared; LSF and job manager restarted
Starting on 1st June, 2 cosmics workflows started running which each had over 170000 very tiny jobs (*). The CPU efficiency of these jobs was &lt; %5 because they spent most of their time just opening files.  This put a constant load of around 1000 requests/minute on the stager (and hence LSF) which is much higher than normal. The load on diskservers was negligible. However, the load on LSF caused it to sometimes take a very long time to process requests, resulting in occasional SAM test failures due to timeouts and FTS transfer failures due to timeouts.
In the future if such workflows are run we could use xrootd instead of rfio, as xrootd is setup in the CMS instance to have unscheduled reads. Unfortunately we didn’t get xrootd working successfully until these workflows had almost finished. The problem might also be avoided in CASTOR 2.1.11 with the alternative scheduler.
</t>
        </r>
      </text>
    </comment>
  </commentList>
</comments>
</file>

<file path=xl/comments2.xml><?xml version="1.0" encoding="utf-8"?>
<comments xmlns="http://schemas.openxmlformats.org/spreadsheetml/2006/main">
  <authors>
    <author xml:space="preserve"> </author>
  </authors>
  <commentList>
    <comment ref="H51" authorId="0">
      <text>
        <r>
          <rPr>
            <sz val="8"/>
            <color indexed="81"/>
            <rFont val="Tahoma"/>
            <family val="2"/>
          </rPr>
          <t xml:space="preserve">Unable to set until new LHC schedule and revised experiment resource requirements
</t>
        </r>
      </text>
    </comment>
    <comment ref="H52" authorId="0">
      <text>
        <r>
          <rPr>
            <sz val="8"/>
            <color indexed="81"/>
            <rFont val="Tahoma"/>
            <family val="2"/>
          </rPr>
          <t xml:space="preserve">Unable to set until new LHC schedule and revised experiment resource requirements
</t>
        </r>
      </text>
    </comment>
  </commentList>
</comments>
</file>

<file path=xl/sharedStrings.xml><?xml version="1.0" encoding="utf-8"?>
<sst xmlns="http://schemas.openxmlformats.org/spreadsheetml/2006/main" count="428" uniqueCount="269">
  <si>
    <t>Query</t>
  </si>
  <si>
    <t>Production Team</t>
  </si>
  <si>
    <t>Gareth Smith</t>
  </si>
  <si>
    <t>Proposed Milestone change</t>
  </si>
  <si>
    <t>Likely to be late</t>
  </si>
  <si>
    <t>Month 1</t>
  </si>
  <si>
    <t>GridPP Funded</t>
  </si>
  <si>
    <t>Unfunded</t>
  </si>
  <si>
    <t>Month 2</t>
  </si>
  <si>
    <t>Month 3</t>
  </si>
  <si>
    <t>Progress over last Quarter</t>
  </si>
  <si>
    <t>Successes</t>
  </si>
  <si>
    <t>Problems/Issues</t>
  </si>
  <si>
    <t>General Risks</t>
  </si>
  <si>
    <t>Risk</t>
  </si>
  <si>
    <t>Note:To get multiple lines per box use Alt-Return</t>
  </si>
  <si>
    <t>Mitigating Action</t>
  </si>
  <si>
    <t>Objectives and Deliverables for Last Quarter</t>
  </si>
  <si>
    <t>Objective/Deliverable</t>
  </si>
  <si>
    <t>Due Date</t>
  </si>
  <si>
    <t>Metric/Output</t>
  </si>
  <si>
    <t>Objectives and Deliverables for Next Quarter</t>
  </si>
  <si>
    <t>Site</t>
  </si>
  <si>
    <t>Total</t>
  </si>
  <si>
    <t>GridPP Quarterly Report</t>
  </si>
  <si>
    <t>Quarter</t>
  </si>
  <si>
    <t>Owner</t>
  </si>
  <si>
    <t>Description</t>
  </si>
  <si>
    <t>Area</t>
  </si>
  <si>
    <t>Reported by</t>
  </si>
  <si>
    <t>Target</t>
  </si>
  <si>
    <t>OK</t>
  </si>
  <si>
    <t>Not OK</t>
  </si>
  <si>
    <t>Comment</t>
  </si>
  <si>
    <t>Suspended</t>
  </si>
  <si>
    <t>Milestone no.</t>
  </si>
  <si>
    <t>Due date</t>
  </si>
  <si>
    <t>Date complete</t>
  </si>
  <si>
    <t>Evidence</t>
  </si>
  <si>
    <t>Overdue</t>
  </si>
  <si>
    <t>Not yet due</t>
  </si>
  <si>
    <t>Work area</t>
  </si>
  <si>
    <t>Complete</t>
  </si>
  <si>
    <t>Insitute or area specific risks</t>
  </si>
  <si>
    <t>Not yet able to be measured</t>
  </si>
  <si>
    <t>Effort (FTE)</t>
  </si>
  <si>
    <t>Close to target</t>
  </si>
  <si>
    <t>Source</t>
  </si>
  <si>
    <t>CPU</t>
  </si>
  <si>
    <t>CASTOR/Tape</t>
  </si>
  <si>
    <t>Operations</t>
  </si>
  <si>
    <t>Network</t>
  </si>
  <si>
    <t>Management</t>
  </si>
  <si>
    <t>Tier-1</t>
  </si>
  <si>
    <t>Andrew Sansum</t>
  </si>
  <si>
    <t>Derek Ross</t>
  </si>
  <si>
    <t>Matt Hodges</t>
  </si>
  <si>
    <t>John Gordon</t>
  </si>
  <si>
    <t>Martin Bly</t>
  </si>
  <si>
    <t>Tim Folkes</t>
  </si>
  <si>
    <t>David Corney</t>
  </si>
  <si>
    <t>Catalin Condurache</t>
  </si>
  <si>
    <t>Jeremy Coles</t>
  </si>
  <si>
    <t>Based on Milestones 1.3d-2</t>
  </si>
  <si>
    <t>General</t>
  </si>
  <si>
    <t>CASTOR</t>
  </si>
  <si>
    <t>Disk</t>
  </si>
  <si>
    <t>Production</t>
  </si>
  <si>
    <t>Tier-1 no.</t>
  </si>
  <si>
    <t>GridPP no.</t>
  </si>
  <si>
    <t>Objectives and Deliverables needing Rescheduling</t>
  </si>
  <si>
    <t>Old Due Date</t>
  </si>
  <si>
    <t>New Due Date</t>
  </si>
  <si>
    <t>Reason</t>
  </si>
  <si>
    <t xml:space="preserve">New Objectives and Deliverables </t>
  </si>
  <si>
    <t>Summary of Comments</t>
  </si>
  <si>
    <t>Core Services</t>
  </si>
  <si>
    <t>Matt Viljoen</t>
  </si>
  <si>
    <t>GRIDPP Funded Name(s)</t>
  </si>
  <si>
    <t>Sansum</t>
  </si>
  <si>
    <t>Proposed to be Rescheduled</t>
  </si>
  <si>
    <t>Grid Deployment</t>
  </si>
  <si>
    <t>Q211</t>
  </si>
  <si>
    <t>Q311</t>
  </si>
  <si>
    <t>Q411</t>
  </si>
  <si>
    <t>Q1 12</t>
  </si>
  <si>
    <t>A1.1</t>
  </si>
  <si>
    <t>A1.2</t>
  </si>
  <si>
    <t>A1.3</t>
  </si>
  <si>
    <t>A1.4</t>
  </si>
  <si>
    <t>A1.5</t>
  </si>
  <si>
    <t>A1.6</t>
  </si>
  <si>
    <t>A1.7</t>
  </si>
  <si>
    <t>A1.8</t>
  </si>
  <si>
    <t>A1.9</t>
  </si>
  <si>
    <t>A1.10</t>
  </si>
  <si>
    <t>A1.11</t>
  </si>
  <si>
    <t>A1.12</t>
  </si>
  <si>
    <t>A1.13</t>
  </si>
  <si>
    <t>A1.14</t>
  </si>
  <si>
    <t>A1.15</t>
  </si>
  <si>
    <t>A2.1</t>
  </si>
  <si>
    <t>A2.2</t>
  </si>
  <si>
    <t>A2.3</t>
  </si>
  <si>
    <t>A2.4</t>
  </si>
  <si>
    <t>A2.5</t>
  </si>
  <si>
    <t>A2.6</t>
  </si>
  <si>
    <t>A2.7</t>
  </si>
  <si>
    <t>A2.8</t>
  </si>
  <si>
    <t>A2.9</t>
  </si>
  <si>
    <t>A2.10</t>
  </si>
  <si>
    <t>A2.11</t>
  </si>
  <si>
    <t>A2.12</t>
  </si>
  <si>
    <t>A3.1</t>
  </si>
  <si>
    <t>A3.2</t>
  </si>
  <si>
    <t>A3.3</t>
  </si>
  <si>
    <t>A3.4</t>
  </si>
  <si>
    <t>A3.5</t>
  </si>
  <si>
    <t>A3.6</t>
  </si>
  <si>
    <t>A3.7</t>
  </si>
  <si>
    <t>A3.8</t>
  </si>
  <si>
    <t>A3.9</t>
  </si>
  <si>
    <t>A3.10</t>
  </si>
  <si>
    <t>A3.11</t>
  </si>
  <si>
    <t>Fraction of WLCG MoU commitment for CPU 100 %</t>
  </si>
  <si>
    <t>Availability of LFC service 99%</t>
    <phoneticPr fontId="0" type="noConversion"/>
  </si>
  <si>
    <t>SAM availability of FTS service 99 %</t>
    <phoneticPr fontId="0" type="noConversion"/>
  </si>
  <si>
    <t>SAM availability of MyProxy service 99 %</t>
    <phoneticPr fontId="0" type="noConversion"/>
  </si>
  <si>
    <t>SAM availability of toplevel BDII service 99 %</t>
    <phoneticPr fontId="0" type="noConversion"/>
  </si>
  <si>
    <t>Availability of WMS service 99 %</t>
    <phoneticPr fontId="0" type="noConversion"/>
  </si>
  <si>
    <t>Availability of LHCB VO box 98 %</t>
    <phoneticPr fontId="0" type="noConversion"/>
  </si>
  <si>
    <t>Availability of ALICE VO box 98 %</t>
    <phoneticPr fontId="0" type="noConversion"/>
  </si>
  <si>
    <t>Availability of CMS VO box 99 %</t>
    <phoneticPr fontId="0" type="noConversion"/>
  </si>
  <si>
    <t>Availability of CE service 99 %</t>
    <phoneticPr fontId="0" type="noConversion"/>
  </si>
  <si>
    <t>Number of Security Incidents 2 per year</t>
    <phoneticPr fontId="0" type="noConversion"/>
  </si>
  <si>
    <t xml:space="preserve"># level 3 incidents(newly entered or active) in disaster management system 0  </t>
    <phoneticPr fontId="0" type="noConversion"/>
  </si>
  <si>
    <t xml:space="preserve"># level 4 incidents (newly entered or active) in disaster management system 0  </t>
    <phoneticPr fontId="0" type="noConversion"/>
  </si>
  <si>
    <t>Percentage of GRIDPP4 Staff in Post 93 %</t>
  </si>
  <si>
    <t>Fraction of WLCG MoU commitment for Disk 100 %</t>
    <phoneticPr fontId="0" type="noConversion"/>
  </si>
  <si>
    <t xml:space="preserve"> Fraction of WLCG MoU commitment for Tape 100 %</t>
    <phoneticPr fontId="0" type="noConversion"/>
  </si>
  <si>
    <t># Storage node failures leading to filesystem loss or damage</t>
  </si>
  <si>
    <t>% Lost disk server hours due to hardware problems over deployed base</t>
    <phoneticPr fontId="0" type="noConversion"/>
  </si>
  <si>
    <t>CASTOR SAM tests: ATLAS VO</t>
  </si>
  <si>
    <t>CASTOR SAM tests: ALICE VO</t>
  </si>
  <si>
    <t>CASTOR SAM tests: CMS VO</t>
  </si>
  <si>
    <t>CASTOR SAM tests: LHCb VO</t>
  </si>
  <si>
    <t xml:space="preserve"> Reliability of tape robot 99 %</t>
  </si>
  <si>
    <t>WLCG Service Availability Target (set lower by WLCG than MoU, taken from OPS availability) 97 %</t>
  </si>
  <si>
    <t>WLCG Service Availability for Alice 97 %</t>
  </si>
  <si>
    <t>WLCG Service Availability for ATLAS 97 %</t>
    <phoneticPr fontId="0" type="noConversion"/>
  </si>
  <si>
    <t>WLCG Service Availability for CMS 97 %</t>
    <phoneticPr fontId="0" type="noConversion"/>
  </si>
  <si>
    <t>WLCG Service Availability for LHCB 97 %</t>
    <phoneticPr fontId="0" type="noConversion"/>
  </si>
  <si>
    <t xml:space="preserve">Respond to pager within 2 hours  95 %  </t>
  </si>
  <si>
    <t xml:space="preserve">Number of GGUS Tickets not responded to within two hours .  </t>
    <phoneticPr fontId="0" type="noConversion"/>
  </si>
  <si>
    <t>Job Efficiency (CPU/Wall) 70 %</t>
  </si>
  <si>
    <t>Farm Occupancy 70 %</t>
  </si>
  <si>
    <t>A1.16</t>
  </si>
  <si>
    <t>A1.17</t>
  </si>
  <si>
    <t>A4.1</t>
  </si>
  <si>
    <t>A4.2</t>
  </si>
  <si>
    <t>A4.3</t>
  </si>
  <si>
    <t>A4.4</t>
  </si>
  <si>
    <t>A4.5</t>
  </si>
  <si>
    <t xml:space="preserve">Internal strategic and technology review </t>
  </si>
  <si>
    <t>Produce the purchasing plan</t>
  </si>
  <si>
    <t>% met of GRIDPP T1RB Allocation for Tape   100 %</t>
  </si>
  <si>
    <t>% met of GRIDPP T1-RB allocation for CPU 100 %</t>
  </si>
  <si>
    <t>% met of GRIDPP T1RB Allocation for Disk  100 %</t>
  </si>
  <si>
    <t xml:space="preserve">Damaged tapes/month, leading to data loss </t>
  </si>
  <si>
    <t>3 per month</t>
  </si>
  <si>
    <t>Percentage of available T1 Disk 1 used in quarter 20 %</t>
  </si>
  <si>
    <t>Used tape capacity (TB)</t>
  </si>
  <si>
    <t>Fabric</t>
  </si>
  <si>
    <t>Grid</t>
  </si>
  <si>
    <t>Database</t>
  </si>
  <si>
    <t>A3.12</t>
  </si>
  <si>
    <t>WLCG Availability Rank for ATLAS</t>
  </si>
  <si>
    <t>WLCG Availability Rank for CMS</t>
  </si>
  <si>
    <t>A3.13</t>
  </si>
  <si>
    <t>A3.14</t>
  </si>
  <si>
    <t>A3.15</t>
  </si>
  <si>
    <t>WLCG Availability Rank for LHCB</t>
  </si>
  <si>
    <t>Strategic and operations plan agreed</t>
  </si>
  <si>
    <t>WLCG Availability Rank for Alice</t>
  </si>
  <si>
    <t>Machine Room Operations</t>
  </si>
  <si>
    <t>Database team</t>
  </si>
  <si>
    <t>Smith, Idiculla, Kelly</t>
  </si>
  <si>
    <t>Q2 12</t>
  </si>
  <si>
    <t>Metric calculation changed in 12Q1 Now harder</t>
  </si>
  <si>
    <t>Q3 12</t>
  </si>
  <si>
    <t>Notes</t>
  </si>
  <si>
    <t>EVAL Notes</t>
  </si>
  <si>
    <t>Publications</t>
  </si>
  <si>
    <t xml:space="preserve"> Date</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</si>
  <si>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</si>
  <si>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</si>
  <si>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</si>
  <si>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</si>
  <si>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</si>
  <si>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</si>
  <si>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</si>
  <si>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</si>
  <si>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Q4 12</t>
  </si>
  <si>
    <t>Q113</t>
  </si>
  <si>
    <t>Tier-1 WLCG MoU commitments met</t>
  </si>
  <si>
    <t>Norris, Patel, Sheppard</t>
  </si>
  <si>
    <t>Q213</t>
  </si>
  <si>
    <t>Q313</t>
  </si>
  <si>
    <t>Q413</t>
  </si>
  <si>
    <t>Q114</t>
  </si>
  <si>
    <t>A1.19 External review of operation</t>
  </si>
  <si>
    <t>TBC</t>
  </si>
  <si>
    <t>PMB concluded review was inappropriate given uncertainty in Tier-1 funding in GRIDPP5</t>
  </si>
  <si>
    <t>A1.23 Strategic and operations plan agreed</t>
  </si>
  <si>
    <t>Pending on A1.19</t>
  </si>
  <si>
    <t>Capacity procurements started</t>
  </si>
  <si>
    <t>Q214</t>
  </si>
  <si>
    <t>Recruitment and retention has been raised by SCD to the highest level within the corporate risk register and is being treated as an urgent matter by Operations Board and the Head of HR. Approval to recruit, once slow and tortuous is now unimpeded allowing recruitments to start rapidly. HR are receptive to a variety of newer approaches to recruitments. SBS are increasingly efficient at initiating recruitments. Nevertheless the situation remains challanging.</t>
  </si>
  <si>
    <t>Experiment data access models are evolving. CASTOR is looking increasingly limited by transaction rate - particularly during hardware draining and meta-data operations such as ATLAS renaming.  It isincreasingly clear that CASTOR will not provide all required functionality to meet future experiment requirements. However r ecent discussion at PMB F2F concluded that no indication yet that CASTOR would prove inadaquate.</t>
  </si>
  <si>
    <t>Q314</t>
  </si>
  <si>
    <t>Q414</t>
  </si>
  <si>
    <t xml:space="preserve"> Bly, Hafeez, Harper, </t>
  </si>
  <si>
    <t>Condurache, Adams, Collier, Ryall, Barnsley</t>
  </si>
  <si>
    <t>Viljoen, Canning ,  De Witt,  Folkes, Prosser, Davies,Appleyard</t>
  </si>
  <si>
    <t>Cioffi, Viljoen, Smirnov</t>
  </si>
  <si>
    <t>A4.20 WLCG MoU Commitment met</t>
  </si>
  <si>
    <t>Hardware procurements are running a few weeks later than usual however we expect to be able to deliver both disk and tape resources through reserve capacity. CPU capacity may be a little tighter than planned in April.</t>
  </si>
  <si>
    <t>The GRIDPP5 proposal is expected to cover this milestone adaquatly.</t>
  </si>
  <si>
    <t>A4.4 Internal strategic and tech nological review</t>
  </si>
  <si>
    <t>Continue work on disk storage project in case CASTOR not suitable for run 2.</t>
  </si>
  <si>
    <t>Staffing levels will be difficult to sustain at planned levels. The considerable uncertainty in funding situation for GRIDPP5 continues to have  a negative impact on staff retention. Recruitment and retention at STFC for computing positions has become increasingly difficult owing to uncompetative pay. This is further complicated by the increasing difficulty matching job description and salery for Tier-2 Visias against computing roles further reducing the pool of candidate labour.</t>
  </si>
  <si>
    <t xml:space="preserve"> </t>
  </si>
  <si>
    <t>The Tier-1 project to connect to the site core at 40Gb/s (and to terminate the LHC OPN on Tier-1 routers) has been delayed owing to Tier-1 team staff departures and operational problems.Network bandwidth limitations on the Tier-1 links to JANET.
STFC has been unable to prioritise IPV6 developments necessary to allow the Tier-1 to to meet its WLCG milestone of Perfsonar access over IPV6.</t>
  </si>
  <si>
    <t>Tier-1 is setting up a new network management meeting that will include members of site networking group to oversee tier-1 network projects. Tier-1 service manager has been invited to attend the STFC NetTDA where site network development priorities are set.</t>
  </si>
  <si>
    <t>Q115</t>
  </si>
  <si>
    <t>Short term effort increase to test DR</t>
  </si>
  <si>
    <t>unfunded 0.4 is JCG APEL work temp on GridPP</t>
  </si>
  <si>
    <t>Q215</t>
  </si>
  <si>
    <t>No measurement for FTS3.</t>
  </si>
  <si>
    <t>LHCb load (stripping campaign) in January affected LHCb SRMs causing tests to timeout.</t>
  </si>
  <si>
    <t>See comment for A2.11</t>
  </si>
  <si>
    <t xml:space="preserve"> Safety check of the electrical power circuits in the machine room carried out in January.</t>
  </si>
  <si>
    <t>Atlas Frontier (3D) moved to using new database backend (called "Cronos"). (February)</t>
  </si>
  <si>
    <t>Problems seen with throughput and file open times for CMS. Also - problem of AAA xroot redirection not working. In mid-May problems severe owing to hot files. Work on resolving performnce problems for CMS included allowing unscheduled xroot reads from CMS disks (June);</t>
  </si>
  <si>
    <t>Various changes have been made to setup the DiRAC VO - leading to the first successful file transfers (during June)</t>
  </si>
  <si>
    <t>Separate Castor namesever box set-up to enable queries against Castor metadata to be made without affecting the throughput of production work (February); 
 The migration of all data off T10000A &amp; B media was completed (March); 
Castor minor version update (to version 2.1.14-15) in April; 
Castor tape servers updated to SL6 (by mid-May);  
Following a problem flagged by LHCb old files in Castor that did not have a recorded checksum has this retrospectively added (June);</t>
  </si>
  <si>
    <t>A new Stratum-1 system for the cern.ch domain set-up (March); 
Atlas FTS traffic started to be routed via development FTS3 systsem (as a test - in cooperation with Atlas); 
A number of FTS updates were applied to the service over the period (done in conjunction with VOs &amp; developers).</t>
  </si>
  <si>
    <t>For all of this period (January - June) we were running with a single network router rather than a resilient pair; 
From end March started to see sporadic low level packet loss on external links; Early April: Network problem caused delay of Castor update (subject of post mortem). 
At the end of April there was a latency diffenence to/back over OPN - fixed early May.</t>
  </si>
  <si>
    <t>In early June there was a problem with the central monitoring tests. The overall site availability was fixed-up by request. However, this still reflects in this measure.</t>
  </si>
  <si>
    <t>New achievable max staff count reduced to 18.5 during GridPP4+ (owing to overheads changes)</t>
  </si>
  <si>
    <t>Owing to a change in STFC overheads rates for GridPP4+ maximum affordable staff count at the Tier-1 has fallen from 19.5 FTE to 18.5 FTE.
The Tier-1 manager continues to work at reduced effort of 0.5 FTE (reduced from 1 FTE) owing to a change of duties. Reduced management effort has led to degraded project and financial management and as well as project reporting and continuous service improvement.</t>
  </si>
  <si>
    <t>A4.8 Produce the purchasing plan</t>
  </si>
  <si>
    <t>Plan 1.6 signed off with GridPP</t>
  </si>
  <si>
    <t>A4.20 MoU Commitments met</t>
  </si>
  <si>
    <t>A4.4 Internal Strategic and Technology review</t>
  </si>
  <si>
    <t xml:space="preserve">This was carried out and documented as part of the GridPP5 Proposal </t>
  </si>
  <si>
    <t>Disk server deployments carried out?
New team of &gt; 1.5 FTE in place to deploy Ceph as a replacement to CASTOR disk. This project is expected to run for the full duration of GridPP4+</t>
  </si>
  <si>
    <t>New Ceph developer recruited (George Vasilaskos). New Year in Industry student Calum Williams recruited</t>
  </si>
  <si>
    <t>Q1 15</t>
  </si>
  <si>
    <t xml:space="preserve"> Bly, Hafeez, Harper, Walia</t>
  </si>
  <si>
    <t>New HW person (Chetan Walia) started in June.</t>
  </si>
  <si>
    <t>Norris, Patel, Sheppard, Knightley</t>
  </si>
  <si>
    <t>Condurache, Adams, Collier, Ryall, Dibbo, Williams</t>
  </si>
  <si>
    <t>Short Term  programmer effort for GridFTP interface to CEPH.</t>
  </si>
  <si>
    <t>Viljoen, Canning ,  De Witt,  Folkes, Prosser, Davies,Appleyard, Johnson</t>
  </si>
  <si>
    <t>External Review of Operations</t>
  </si>
  <si>
    <t>Capacity order placed</t>
  </si>
  <si>
    <t>Started</t>
  </si>
  <si>
    <t>In May initial tests took place with a new worker node configuration - using Aquilon for the deployment of the nodes and Grid middleware being picked up using CVMFS.
2014 batches of CPU brought online (by early June);  
Batch job limit for Alice completely removed (June);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</si>
</sst>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
  </numFmts>
  <fonts count="12" x14ac:knownFonts="1">
    <font>
      <sz val="10"/>
      <name val="Arial"/>
    </font>
    <font>
      <sz val="10"/>
      <name val="Arial"/>
      <family val="2"/>
    </font>
    <font>
      <b/>
      <sz val="10"/>
      <name val="Arial"/>
      <family val="2"/>
    </font>
    <font>
      <b/>
      <sz val="10"/>
      <name val="Arial"/>
      <family val="2"/>
    </font>
    <font>
      <sz val="10"/>
      <name val="Arial"/>
      <family val="2"/>
    </font>
    <font>
      <sz val="8"/>
      <color indexed="81"/>
      <name val="Tahoma"/>
      <family val="2"/>
    </font>
    <font>
      <b/>
      <sz val="8"/>
      <color indexed="81"/>
      <name val="Tahoma"/>
      <family val="2"/>
    </font>
    <font>
      <sz val="10"/>
      <color rgb="FFFF0000"/>
      <name val="Arial"/>
      <family val="2"/>
    </font>
    <font>
      <sz val="12"/>
      <name val="Arial"/>
      <family val="2"/>
    </font>
    <font>
      <b/>
      <sz val="12"/>
      <name val="Arial"/>
      <family val="2"/>
    </font>
    <font>
      <u/>
      <sz val="10"/>
      <color theme="10"/>
      <name val="Arial"/>
      <family val="2"/>
    </font>
    <font>
      <u/>
      <sz val="10"/>
      <color theme="11"/>
      <name val="Arial"/>
      <family val="2"/>
    </font>
  </fonts>
  <fills count="22">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11"/>
        <bgColor indexed="64"/>
      </patternFill>
    </fill>
    <fill>
      <patternFill patternType="solid">
        <fgColor indexed="10"/>
        <bgColor indexed="64"/>
      </patternFill>
    </fill>
    <fill>
      <patternFill patternType="solid">
        <fgColor indexed="8"/>
        <bgColor indexed="64"/>
      </patternFill>
    </fill>
    <fill>
      <patternFill patternType="solid">
        <fgColor indexed="52"/>
        <bgColor indexed="64"/>
      </patternFill>
    </fill>
    <fill>
      <patternFill patternType="solid">
        <fgColor indexed="46"/>
        <bgColor indexed="64"/>
      </patternFill>
    </fill>
    <fill>
      <patternFill patternType="solid">
        <fgColor indexed="12"/>
        <bgColor indexed="64"/>
      </patternFill>
    </fill>
    <fill>
      <patternFill patternType="solid">
        <fgColor indexed="4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bgColor indexed="64"/>
      </patternFill>
    </fill>
    <fill>
      <patternFill patternType="solid">
        <fgColor rgb="FFFF6600"/>
        <bgColor indexed="64"/>
      </patternFill>
    </fill>
    <fill>
      <patternFill patternType="solid">
        <fgColor rgb="FFFF0000"/>
        <bgColor rgb="FF000000"/>
      </patternFill>
    </fill>
    <fill>
      <patternFill patternType="solid">
        <fgColor rgb="FF92D050"/>
        <bgColor indexed="64"/>
      </patternFill>
    </fill>
    <fill>
      <patternFill patternType="solid">
        <fgColor rgb="FF7030A0"/>
        <bgColor indexed="64"/>
      </patternFill>
    </fill>
    <fill>
      <patternFill patternType="solid">
        <fgColor rgb="FFFFFF00"/>
        <bgColor indexed="64"/>
      </patternFill>
    </fill>
    <fill>
      <patternFill patternType="solid">
        <fgColor rgb="FFFF9900"/>
        <bgColor indexed="64"/>
      </patternFill>
    </fill>
  </fills>
  <borders count="61">
    <border>
      <left/>
      <right/>
      <top/>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medium">
        <color auto="1"/>
      </bottom>
      <diagonal/>
    </border>
    <border>
      <left style="medium">
        <color auto="1"/>
      </left>
      <right/>
      <top style="thin">
        <color auto="1"/>
      </top>
      <bottom style="medium">
        <color auto="1"/>
      </bottom>
      <diagonal/>
    </border>
    <border>
      <left/>
      <right/>
      <top style="medium">
        <color auto="1"/>
      </top>
      <bottom/>
      <diagonal/>
    </border>
    <border>
      <left/>
      <right/>
      <top/>
      <bottom style="thin">
        <color auto="1"/>
      </bottom>
      <diagonal/>
    </border>
    <border>
      <left/>
      <right style="medium">
        <color auto="1"/>
      </right>
      <top/>
      <bottom style="thin">
        <color auto="1"/>
      </bottom>
      <diagonal/>
    </border>
  </borders>
  <cellStyleXfs count="139">
    <xf numFmtId="0" fontId="0" fillId="0" borderId="0"/>
    <xf numFmtId="0" fontId="4" fillId="0" borderId="0"/>
    <xf numFmtId="0" fontId="1"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43">
    <xf numFmtId="0" fontId="0" fillId="0" borderId="0" xfId="0"/>
    <xf numFmtId="0" fontId="2" fillId="0" borderId="0" xfId="0" applyFont="1"/>
    <xf numFmtId="0" fontId="3" fillId="3" borderId="11" xfId="0" applyFont="1" applyFill="1" applyBorder="1"/>
    <xf numFmtId="0" fontId="0" fillId="3" borderId="12" xfId="0" applyFill="1" applyBorder="1"/>
    <xf numFmtId="0" fontId="3" fillId="2" borderId="13" xfId="0" applyFont="1" applyFill="1" applyBorder="1"/>
    <xf numFmtId="0" fontId="3" fillId="2" borderId="14" xfId="0" applyFont="1" applyFill="1" applyBorder="1"/>
    <xf numFmtId="0" fontId="3" fillId="3" borderId="1" xfId="0" applyFont="1" applyFill="1" applyBorder="1"/>
    <xf numFmtId="0" fontId="3" fillId="3" borderId="16" xfId="0" applyFont="1" applyFill="1" applyBorder="1"/>
    <xf numFmtId="0" fontId="3" fillId="3" borderId="3" xfId="0" applyFont="1" applyFill="1" applyBorder="1"/>
    <xf numFmtId="0" fontId="0" fillId="3" borderId="15" xfId="0" applyFill="1" applyBorder="1"/>
    <xf numFmtId="0" fontId="3" fillId="2" borderId="11" xfId="0" applyFont="1" applyFill="1" applyBorder="1"/>
    <xf numFmtId="0" fontId="0" fillId="4" borderId="5" xfId="0" applyFill="1" applyBorder="1"/>
    <xf numFmtId="0" fontId="0" fillId="0" borderId="8" xfId="0" applyBorder="1"/>
    <xf numFmtId="0" fontId="0" fillId="5" borderId="18" xfId="0" applyFill="1" applyBorder="1"/>
    <xf numFmtId="0" fontId="0" fillId="0" borderId="19" xfId="0" applyBorder="1"/>
    <xf numFmtId="0" fontId="0" fillId="0" borderId="18" xfId="0" applyFill="1" applyBorder="1"/>
    <xf numFmtId="0" fontId="0" fillId="6" borderId="20" xfId="0" applyFill="1" applyBorder="1"/>
    <xf numFmtId="0" fontId="0" fillId="0" borderId="21" xfId="0" applyBorder="1"/>
    <xf numFmtId="0" fontId="3" fillId="2" borderId="22" xfId="0" applyFont="1" applyFill="1" applyBorder="1"/>
    <xf numFmtId="0" fontId="0" fillId="0" borderId="23" xfId="0" applyFill="1" applyBorder="1"/>
    <xf numFmtId="0" fontId="0" fillId="0" borderId="24" xfId="0" applyFill="1" applyBorder="1"/>
    <xf numFmtId="0" fontId="0" fillId="0" borderId="12" xfId="0" applyFill="1" applyBorder="1"/>
    <xf numFmtId="0" fontId="0" fillId="0" borderId="25" xfId="0" applyFill="1" applyBorder="1"/>
    <xf numFmtId="0" fontId="1" fillId="7" borderId="18" xfId="0" applyFont="1" applyFill="1" applyBorder="1"/>
    <xf numFmtId="0" fontId="0" fillId="4" borderId="26" xfId="0" applyFill="1" applyBorder="1"/>
    <xf numFmtId="0" fontId="0" fillId="5" borderId="27" xfId="0" applyFill="1" applyBorder="1"/>
    <xf numFmtId="0" fontId="0" fillId="8" borderId="27" xfId="0" applyFill="1" applyBorder="1"/>
    <xf numFmtId="0" fontId="0" fillId="0" borderId="0" xfId="0" applyAlignment="1">
      <alignment wrapText="1"/>
    </xf>
    <xf numFmtId="0" fontId="0" fillId="0" borderId="0" xfId="0" applyFill="1" applyBorder="1"/>
    <xf numFmtId="0" fontId="3" fillId="2" borderId="0" xfId="0" applyFont="1" applyFill="1" applyBorder="1"/>
    <xf numFmtId="0" fontId="0" fillId="0" borderId="0" xfId="0" applyFill="1"/>
    <xf numFmtId="0" fontId="4" fillId="0" borderId="0" xfId="0" applyFont="1" applyFill="1" applyBorder="1" applyAlignment="1">
      <alignment horizontal="left" vertical="top" wrapText="1"/>
    </xf>
    <xf numFmtId="15" fontId="4" fillId="0" borderId="0" xfId="0" applyNumberFormat="1" applyFont="1" applyFill="1" applyBorder="1" applyAlignment="1">
      <alignment horizontal="center" vertical="top" wrapText="1"/>
    </xf>
    <xf numFmtId="0" fontId="0" fillId="7" borderId="0" xfId="0" applyFill="1"/>
    <xf numFmtId="0" fontId="0" fillId="0" borderId="30" xfId="0" applyFill="1" applyBorder="1" applyAlignment="1">
      <alignment wrapText="1"/>
    </xf>
    <xf numFmtId="0" fontId="0" fillId="0" borderId="23" xfId="0" applyFill="1" applyBorder="1" applyAlignment="1">
      <alignment wrapText="1"/>
    </xf>
    <xf numFmtId="0" fontId="3" fillId="0" borderId="0" xfId="0" applyFont="1" applyFill="1" applyBorder="1"/>
    <xf numFmtId="164" fontId="3" fillId="2" borderId="27" xfId="0" applyNumberFormat="1" applyFont="1" applyFill="1" applyBorder="1" applyAlignment="1">
      <alignment wrapText="1"/>
    </xf>
    <xf numFmtId="0" fontId="0" fillId="0" borderId="33" xfId="0" applyBorder="1"/>
    <xf numFmtId="0" fontId="4" fillId="0" borderId="33" xfId="0" applyFont="1" applyFill="1" applyBorder="1" applyAlignment="1">
      <alignment horizontal="left" vertical="top" wrapText="1"/>
    </xf>
    <xf numFmtId="9" fontId="4" fillId="0" borderId="34" xfId="0" applyNumberFormat="1" applyFont="1" applyFill="1" applyBorder="1" applyAlignment="1">
      <alignment horizontal="left" vertical="top" wrapText="1"/>
    </xf>
    <xf numFmtId="0" fontId="4" fillId="0" borderId="34" xfId="0" applyFont="1" applyFill="1" applyBorder="1" applyAlignment="1">
      <alignment horizontal="left" vertical="top" wrapText="1"/>
    </xf>
    <xf numFmtId="0" fontId="3" fillId="2" borderId="31" xfId="0" applyFont="1" applyFill="1" applyBorder="1" applyAlignment="1">
      <alignment wrapText="1"/>
    </xf>
    <xf numFmtId="164" fontId="3" fillId="2" borderId="31" xfId="0" applyNumberFormat="1" applyFont="1" applyFill="1" applyBorder="1" applyAlignment="1">
      <alignment wrapText="1"/>
    </xf>
    <xf numFmtId="0" fontId="3" fillId="2" borderId="36" xfId="0" applyFont="1" applyFill="1" applyBorder="1" applyAlignment="1">
      <alignment wrapText="1"/>
    </xf>
    <xf numFmtId="0" fontId="4" fillId="0" borderId="32" xfId="0" applyFont="1" applyFill="1" applyBorder="1" applyAlignment="1">
      <alignment horizontal="left" vertical="top" wrapText="1"/>
    </xf>
    <xf numFmtId="9" fontId="4" fillId="0" borderId="38" xfId="0" applyNumberFormat="1" applyFont="1" applyFill="1" applyBorder="1" applyAlignment="1">
      <alignment horizontal="left" vertical="top" wrapText="1"/>
    </xf>
    <xf numFmtId="0" fontId="0" fillId="0" borderId="4" xfId="0" applyBorder="1" applyAlignment="1">
      <alignment wrapText="1"/>
    </xf>
    <xf numFmtId="0" fontId="0" fillId="0" borderId="39" xfId="0" applyBorder="1" applyAlignment="1">
      <alignment wrapText="1"/>
    </xf>
    <xf numFmtId="0" fontId="0" fillId="0" borderId="40" xfId="0" applyBorder="1" applyAlignment="1">
      <alignment wrapText="1"/>
    </xf>
    <xf numFmtId="0" fontId="3" fillId="3" borderId="16" xfId="0" applyFont="1" applyFill="1" applyBorder="1" applyAlignment="1">
      <alignment wrapText="1"/>
    </xf>
    <xf numFmtId="0" fontId="4" fillId="0" borderId="33" xfId="0" applyFont="1" applyFill="1" applyBorder="1" applyAlignment="1">
      <alignment vertical="top" wrapText="1"/>
    </xf>
    <xf numFmtId="0" fontId="2" fillId="3" borderId="5" xfId="0" applyFont="1" applyFill="1" applyBorder="1" applyAlignment="1">
      <alignment wrapText="1"/>
    </xf>
    <xf numFmtId="0" fontId="3" fillId="0" borderId="0" xfId="0" applyFont="1"/>
    <xf numFmtId="0" fontId="0" fillId="9" borderId="0" xfId="0" applyFill="1"/>
    <xf numFmtId="0" fontId="0" fillId="10" borderId="0" xfId="0" applyFill="1"/>
    <xf numFmtId="0" fontId="0" fillId="0" borderId="47" xfId="0" applyBorder="1" applyAlignment="1">
      <alignment horizontal="center" vertical="center" wrapText="1"/>
    </xf>
    <xf numFmtId="14" fontId="0" fillId="0" borderId="48" xfId="0" applyNumberFormat="1" applyBorder="1" applyAlignment="1">
      <alignment horizontal="center" vertical="center" wrapText="1"/>
    </xf>
    <xf numFmtId="0" fontId="4" fillId="0" borderId="48" xfId="0" applyFont="1" applyBorder="1" applyAlignment="1">
      <alignment horizontal="left" vertical="center" wrapText="1"/>
    </xf>
    <xf numFmtId="0" fontId="0" fillId="0" borderId="49" xfId="0" applyBorder="1" applyAlignment="1">
      <alignment horizontal="left" vertical="center" wrapText="1"/>
    </xf>
    <xf numFmtId="0" fontId="0" fillId="0" borderId="43" xfId="0" applyBorder="1" applyAlignment="1">
      <alignment horizontal="left" vertical="center" wrapText="1"/>
    </xf>
    <xf numFmtId="0" fontId="4" fillId="0" borderId="2" xfId="0" applyFont="1" applyBorder="1" applyAlignment="1">
      <alignment horizontal="left" vertical="center" wrapText="1"/>
    </xf>
    <xf numFmtId="0" fontId="0" fillId="0" borderId="17" xfId="0" applyBorder="1" applyAlignment="1">
      <alignment horizontal="left" vertical="center" wrapText="1"/>
    </xf>
    <xf numFmtId="0" fontId="0" fillId="0" borderId="50" xfId="0" applyBorder="1" applyAlignment="1">
      <alignment horizontal="left" vertical="center" wrapText="1"/>
    </xf>
    <xf numFmtId="0" fontId="2" fillId="3" borderId="16" xfId="0" applyFont="1" applyFill="1" applyBorder="1"/>
    <xf numFmtId="0" fontId="4" fillId="0" borderId="0" xfId="0" applyFont="1"/>
    <xf numFmtId="0" fontId="0" fillId="8" borderId="0" xfId="0" applyFill="1"/>
    <xf numFmtId="1" fontId="0" fillId="0" borderId="0" xfId="0" applyNumberFormat="1"/>
    <xf numFmtId="165" fontId="0" fillId="0" borderId="0" xfId="0" applyNumberFormat="1"/>
    <xf numFmtId="0" fontId="2" fillId="0" borderId="28" xfId="0" applyFont="1" applyFill="1" applyBorder="1" applyAlignment="1">
      <alignment vertical="center" wrapText="1"/>
    </xf>
    <xf numFmtId="0" fontId="2" fillId="0" borderId="31" xfId="0" applyFont="1" applyFill="1" applyBorder="1" applyAlignment="1">
      <alignment vertical="center" wrapText="1"/>
    </xf>
    <xf numFmtId="0" fontId="3" fillId="0" borderId="31" xfId="0" applyFont="1" applyFill="1" applyBorder="1" applyAlignment="1">
      <alignment vertical="center" wrapText="1"/>
    </xf>
    <xf numFmtId="0" fontId="2" fillId="0" borderId="29" xfId="0" applyFont="1" applyFill="1" applyBorder="1" applyAlignment="1">
      <alignment vertical="center" wrapText="1"/>
    </xf>
    <xf numFmtId="0" fontId="0" fillId="11" borderId="33" xfId="0" applyFill="1" applyBorder="1"/>
    <xf numFmtId="0" fontId="4" fillId="11" borderId="33" xfId="0" applyFont="1" applyFill="1" applyBorder="1" applyAlignment="1">
      <alignment wrapText="1"/>
    </xf>
    <xf numFmtId="0" fontId="0" fillId="11" borderId="33" xfId="0" applyFill="1" applyBorder="1" applyAlignment="1">
      <alignment wrapText="1"/>
    </xf>
    <xf numFmtId="9" fontId="4" fillId="12" borderId="34" xfId="0" applyNumberFormat="1" applyFont="1" applyFill="1" applyBorder="1" applyAlignment="1">
      <alignment horizontal="left" vertical="top" wrapText="1"/>
    </xf>
    <xf numFmtId="2" fontId="0" fillId="0" borderId="0" xfId="0" applyNumberFormat="1" applyFill="1"/>
    <xf numFmtId="0" fontId="1" fillId="0" borderId="23" xfId="0" applyFont="1" applyFill="1" applyBorder="1"/>
    <xf numFmtId="164" fontId="2" fillId="2" borderId="27" xfId="0" applyNumberFormat="1" applyFont="1" applyFill="1" applyBorder="1" applyAlignment="1">
      <alignment wrapText="1"/>
    </xf>
    <xf numFmtId="164" fontId="3" fillId="0" borderId="27" xfId="0" applyNumberFormat="1" applyFont="1" applyFill="1" applyBorder="1" applyAlignment="1">
      <alignment wrapText="1"/>
    </xf>
    <xf numFmtId="0" fontId="3" fillId="0" borderId="31" xfId="0" applyFont="1" applyFill="1" applyBorder="1" applyAlignment="1">
      <alignment wrapText="1"/>
    </xf>
    <xf numFmtId="0" fontId="0" fillId="0" borderId="33" xfId="0" applyFill="1" applyBorder="1" applyAlignment="1">
      <alignment wrapText="1"/>
    </xf>
    <xf numFmtId="9" fontId="4" fillId="0" borderId="30" xfId="0" applyNumberFormat="1" applyFont="1" applyFill="1" applyBorder="1" applyAlignment="1">
      <alignment horizontal="left" vertical="top" wrapText="1"/>
    </xf>
    <xf numFmtId="9" fontId="4" fillId="0" borderId="33" xfId="0" applyNumberFormat="1" applyFont="1" applyFill="1" applyBorder="1" applyAlignment="1">
      <alignment horizontal="left" vertical="top" wrapText="1"/>
    </xf>
    <xf numFmtId="164" fontId="3" fillId="0" borderId="35" xfId="0" applyNumberFormat="1" applyFont="1" applyFill="1" applyBorder="1" applyAlignment="1">
      <alignment wrapText="1"/>
    </xf>
    <xf numFmtId="0" fontId="3" fillId="0" borderId="36" xfId="0" applyFont="1" applyFill="1" applyBorder="1" applyAlignment="1">
      <alignment wrapText="1"/>
    </xf>
    <xf numFmtId="0" fontId="0" fillId="0" borderId="37" xfId="0" applyFill="1" applyBorder="1" applyAlignment="1">
      <alignment wrapText="1"/>
    </xf>
    <xf numFmtId="0" fontId="0" fillId="0" borderId="32" xfId="0" applyFill="1" applyBorder="1" applyAlignment="1">
      <alignment wrapText="1"/>
    </xf>
    <xf numFmtId="9" fontId="4" fillId="0" borderId="32" xfId="0" applyNumberFormat="1" applyFont="1" applyFill="1" applyBorder="1" applyAlignment="1">
      <alignment horizontal="left" vertical="top" wrapText="1"/>
    </xf>
    <xf numFmtId="0" fontId="0" fillId="0" borderId="25" xfId="0" applyFill="1" applyBorder="1" applyAlignment="1">
      <alignment wrapText="1"/>
    </xf>
    <xf numFmtId="0" fontId="2" fillId="3" borderId="23" xfId="0" applyFont="1" applyFill="1" applyBorder="1" applyAlignment="1">
      <alignment wrapText="1"/>
    </xf>
    <xf numFmtId="0" fontId="2" fillId="3" borderId="12" xfId="0" applyFont="1" applyFill="1" applyBorder="1" applyAlignment="1">
      <alignment wrapText="1"/>
    </xf>
    <xf numFmtId="0" fontId="2" fillId="2" borderId="25" xfId="0" applyFont="1" applyFill="1" applyBorder="1" applyAlignment="1">
      <alignment wrapText="1"/>
    </xf>
    <xf numFmtId="0" fontId="2" fillId="2" borderId="23" xfId="0" applyFont="1" applyFill="1" applyBorder="1" applyAlignment="1">
      <alignment wrapText="1"/>
    </xf>
    <xf numFmtId="0" fontId="2" fillId="3" borderId="25" xfId="0" applyFont="1" applyFill="1" applyBorder="1" applyAlignment="1">
      <alignment wrapText="1"/>
    </xf>
    <xf numFmtId="0" fontId="2" fillId="3" borderId="24" xfId="0" applyFont="1" applyFill="1" applyBorder="1" applyAlignment="1">
      <alignment wrapText="1"/>
    </xf>
    <xf numFmtId="9" fontId="4" fillId="12" borderId="30" xfId="0" applyNumberFormat="1" applyFont="1" applyFill="1" applyBorder="1" applyAlignment="1">
      <alignment horizontal="left" vertical="top" wrapText="1"/>
    </xf>
    <xf numFmtId="9" fontId="4" fillId="12" borderId="33" xfId="0" applyNumberFormat="1" applyFont="1" applyFill="1" applyBorder="1" applyAlignment="1">
      <alignment horizontal="left" vertical="top" wrapText="1"/>
    </xf>
    <xf numFmtId="10" fontId="4" fillId="12" borderId="33" xfId="0" applyNumberFormat="1" applyFont="1" applyFill="1" applyBorder="1" applyAlignment="1">
      <alignment horizontal="left" vertical="top" wrapText="1"/>
    </xf>
    <xf numFmtId="0" fontId="4" fillId="12" borderId="32" xfId="0" applyFont="1" applyFill="1" applyBorder="1" applyAlignment="1">
      <alignment horizontal="left" vertical="top" wrapText="1"/>
    </xf>
    <xf numFmtId="9" fontId="4" fillId="12" borderId="51" xfId="0" applyNumberFormat="1" applyFont="1" applyFill="1" applyBorder="1" applyAlignment="1">
      <alignment horizontal="left" vertical="top" wrapText="1"/>
    </xf>
    <xf numFmtId="165" fontId="4" fillId="12" borderId="33" xfId="0" applyNumberFormat="1" applyFont="1" applyFill="1" applyBorder="1" applyAlignment="1">
      <alignment horizontal="left" vertical="top" wrapText="1"/>
    </xf>
    <xf numFmtId="1" fontId="4" fillId="0" borderId="34" xfId="0" applyNumberFormat="1" applyFont="1" applyFill="1" applyBorder="1" applyAlignment="1">
      <alignment horizontal="left" vertical="top" wrapText="1"/>
    </xf>
    <xf numFmtId="1" fontId="4" fillId="12" borderId="30" xfId="0" applyNumberFormat="1" applyFont="1" applyFill="1" applyBorder="1" applyAlignment="1">
      <alignment horizontal="left" vertical="top" wrapText="1"/>
    </xf>
    <xf numFmtId="9" fontId="4" fillId="13" borderId="30" xfId="0" applyNumberFormat="1" applyFont="1" applyFill="1" applyBorder="1" applyAlignment="1">
      <alignment horizontal="left" vertical="top" wrapText="1"/>
    </xf>
    <xf numFmtId="9" fontId="4" fillId="14" borderId="30" xfId="0" applyNumberFormat="1" applyFont="1" applyFill="1" applyBorder="1" applyAlignment="1">
      <alignment horizontal="left" vertical="top" wrapText="1"/>
    </xf>
    <xf numFmtId="2" fontId="4" fillId="12" borderId="33" xfId="0" applyNumberFormat="1" applyFont="1" applyFill="1" applyBorder="1" applyAlignment="1">
      <alignment horizontal="left" vertical="top" wrapText="1"/>
    </xf>
    <xf numFmtId="1" fontId="4" fillId="12" borderId="33" xfId="0" applyNumberFormat="1" applyFont="1" applyFill="1" applyBorder="1" applyAlignment="1">
      <alignment horizontal="left" vertical="top" wrapText="1"/>
    </xf>
    <xf numFmtId="9" fontId="4" fillId="14" borderId="34" xfId="0" applyNumberFormat="1" applyFont="1" applyFill="1" applyBorder="1" applyAlignment="1">
      <alignment horizontal="left" vertical="top" wrapText="1"/>
    </xf>
    <xf numFmtId="9" fontId="4" fillId="14" borderId="51" xfId="0" applyNumberFormat="1" applyFont="1" applyFill="1" applyBorder="1" applyAlignment="1">
      <alignment horizontal="left" vertical="top" wrapText="1"/>
    </xf>
    <xf numFmtId="1" fontId="1" fillId="0" borderId="34" xfId="0" applyNumberFormat="1" applyFont="1" applyFill="1" applyBorder="1" applyAlignment="1">
      <alignment horizontal="left" vertical="top" wrapText="1"/>
    </xf>
    <xf numFmtId="0" fontId="1" fillId="0" borderId="0" xfId="0" applyFont="1" applyFill="1" applyAlignment="1">
      <alignment wrapText="1"/>
    </xf>
    <xf numFmtId="1" fontId="4" fillId="14" borderId="33" xfId="0" applyNumberFormat="1" applyFont="1" applyFill="1" applyBorder="1" applyAlignment="1">
      <alignment horizontal="left" vertical="top" wrapText="1"/>
    </xf>
    <xf numFmtId="0" fontId="1" fillId="0" borderId="23" xfId="0" applyFont="1" applyFill="1" applyBorder="1" applyAlignment="1">
      <alignment wrapText="1"/>
    </xf>
    <xf numFmtId="9" fontId="4" fillId="13" borderId="33" xfId="0" applyNumberFormat="1" applyFont="1" applyFill="1" applyBorder="1" applyAlignment="1">
      <alignment horizontal="left" vertical="top" wrapText="1"/>
    </xf>
    <xf numFmtId="165" fontId="4" fillId="0" borderId="34" xfId="0" applyNumberFormat="1" applyFont="1" applyFill="1" applyBorder="1" applyAlignment="1">
      <alignment horizontal="left" vertical="top" wrapText="1"/>
    </xf>
    <xf numFmtId="0" fontId="8" fillId="0" borderId="0" xfId="0" applyFont="1" applyFill="1"/>
    <xf numFmtId="0" fontId="9" fillId="0" borderId="1" xfId="0" applyFont="1" applyFill="1" applyBorder="1"/>
    <xf numFmtId="0" fontId="9" fillId="0" borderId="15" xfId="0" applyFont="1" applyFill="1" applyBorder="1"/>
    <xf numFmtId="0" fontId="9" fillId="0" borderId="22" xfId="0" applyFont="1" applyFill="1" applyBorder="1"/>
    <xf numFmtId="0" fontId="8" fillId="0" borderId="25" xfId="0" applyFont="1" applyFill="1" applyBorder="1"/>
    <xf numFmtId="0" fontId="9" fillId="0" borderId="13" xfId="0" applyFont="1" applyFill="1" applyBorder="1"/>
    <xf numFmtId="0" fontId="9" fillId="0" borderId="14" xfId="0" applyFont="1" applyFill="1" applyBorder="1"/>
    <xf numFmtId="0" fontId="8" fillId="0" borderId="24" xfId="0" applyFont="1" applyFill="1" applyBorder="1"/>
    <xf numFmtId="0" fontId="9" fillId="0" borderId="0" xfId="0" applyFont="1" applyFill="1"/>
    <xf numFmtId="0" fontId="9" fillId="0" borderId="2" xfId="0" applyFont="1" applyFill="1" applyBorder="1" applyAlignment="1">
      <alignment wrapText="1"/>
    </xf>
    <xf numFmtId="0" fontId="9" fillId="0" borderId="17" xfId="0" applyFont="1" applyFill="1" applyBorder="1" applyAlignment="1">
      <alignment wrapText="1"/>
    </xf>
    <xf numFmtId="0" fontId="9" fillId="0" borderId="3" xfId="0" applyFont="1" applyFill="1" applyBorder="1" applyAlignment="1">
      <alignment wrapText="1"/>
    </xf>
    <xf numFmtId="0" fontId="9" fillId="0" borderId="4" xfId="0" applyFont="1" applyFill="1" applyBorder="1" applyAlignment="1">
      <alignment wrapText="1"/>
    </xf>
    <xf numFmtId="0" fontId="9" fillId="0" borderId="5" xfId="0" applyFont="1" applyFill="1" applyBorder="1" applyAlignment="1">
      <alignment wrapText="1"/>
    </xf>
    <xf numFmtId="0" fontId="9" fillId="0" borderId="6" xfId="0" applyFont="1" applyFill="1" applyBorder="1" applyAlignment="1">
      <alignment horizontal="center" wrapText="1"/>
    </xf>
    <xf numFmtId="0" fontId="9" fillId="0" borderId="7" xfId="0" applyFont="1" applyFill="1" applyBorder="1" applyAlignment="1">
      <alignment horizontal="center" wrapText="1"/>
    </xf>
    <xf numFmtId="0" fontId="9" fillId="0" borderId="8" xfId="0" applyFont="1" applyFill="1" applyBorder="1" applyAlignment="1">
      <alignment horizontal="center" wrapText="1"/>
    </xf>
    <xf numFmtId="0" fontId="9" fillId="0" borderId="9" xfId="0" applyFont="1" applyFill="1" applyBorder="1" applyAlignment="1">
      <alignment horizontal="center" wrapText="1"/>
    </xf>
    <xf numFmtId="0" fontId="9" fillId="0" borderId="10" xfId="0" applyFont="1" applyFill="1" applyBorder="1" applyAlignment="1">
      <alignment horizontal="center" wrapText="1"/>
    </xf>
    <xf numFmtId="0" fontId="9" fillId="0" borderId="28" xfId="0" applyFont="1" applyFill="1" applyBorder="1" applyAlignment="1">
      <alignment wrapText="1"/>
    </xf>
    <xf numFmtId="0" fontId="9" fillId="0" borderId="41" xfId="1" applyFont="1" applyFill="1" applyBorder="1"/>
    <xf numFmtId="0" fontId="9" fillId="0" borderId="41" xfId="0" applyFont="1" applyFill="1" applyBorder="1" applyAlignment="1">
      <alignment wrapText="1"/>
    </xf>
    <xf numFmtId="0" fontId="9" fillId="0" borderId="31" xfId="0" applyFont="1" applyFill="1" applyBorder="1" applyAlignment="1">
      <alignment wrapText="1"/>
    </xf>
    <xf numFmtId="0" fontId="9" fillId="0" borderId="42" xfId="1" applyFont="1" applyFill="1" applyBorder="1"/>
    <xf numFmtId="0" fontId="9" fillId="0" borderId="42" xfId="0" applyFont="1" applyFill="1" applyBorder="1" applyAlignment="1">
      <alignment wrapText="1"/>
    </xf>
    <xf numFmtId="0" fontId="9" fillId="0" borderId="20" xfId="0" applyFont="1" applyFill="1" applyBorder="1"/>
    <xf numFmtId="0" fontId="9" fillId="0" borderId="44" xfId="0" applyFont="1" applyFill="1" applyBorder="1"/>
    <xf numFmtId="0" fontId="9" fillId="0" borderId="21" xfId="0" applyFont="1" applyFill="1" applyBorder="1"/>
    <xf numFmtId="2" fontId="9" fillId="0" borderId="1" xfId="0" applyNumberFormat="1" applyFont="1" applyFill="1" applyBorder="1"/>
    <xf numFmtId="0" fontId="8" fillId="0" borderId="0" xfId="0" applyFont="1"/>
    <xf numFmtId="2" fontId="8" fillId="0" borderId="0" xfId="0" applyNumberFormat="1" applyFont="1"/>
    <xf numFmtId="0" fontId="8" fillId="0" borderId="0" xfId="1" applyFont="1"/>
    <xf numFmtId="0" fontId="1" fillId="0" borderId="0" xfId="0" applyFont="1" applyFill="1"/>
    <xf numFmtId="0" fontId="1" fillId="0" borderId="0" xfId="0" applyFont="1" applyFill="1" applyBorder="1"/>
    <xf numFmtId="2" fontId="1" fillId="12" borderId="33" xfId="0" applyNumberFormat="1" applyFont="1" applyFill="1" applyBorder="1" applyAlignment="1">
      <alignment horizontal="left" vertical="top" wrapText="1"/>
    </xf>
    <xf numFmtId="165" fontId="4" fillId="13" borderId="34" xfId="0" applyNumberFormat="1" applyFont="1" applyFill="1" applyBorder="1" applyAlignment="1">
      <alignment horizontal="left" vertical="top" wrapText="1"/>
    </xf>
    <xf numFmtId="165" fontId="4" fillId="12" borderId="34" xfId="0" applyNumberFormat="1" applyFont="1" applyFill="1" applyBorder="1" applyAlignment="1">
      <alignment horizontal="left" vertical="top" wrapText="1"/>
    </xf>
    <xf numFmtId="165" fontId="4" fillId="14" borderId="34" xfId="0" applyNumberFormat="1" applyFont="1" applyFill="1" applyBorder="1" applyAlignment="1">
      <alignment horizontal="left" vertical="top" wrapText="1"/>
    </xf>
    <xf numFmtId="9" fontId="4" fillId="13" borderId="34" xfId="0" applyNumberFormat="1" applyFont="1" applyFill="1" applyBorder="1" applyAlignment="1">
      <alignment horizontal="left" vertical="top" wrapText="1"/>
    </xf>
    <xf numFmtId="9" fontId="4" fillId="16" borderId="33" xfId="0" applyNumberFormat="1" applyFont="1" applyFill="1" applyBorder="1" applyAlignment="1">
      <alignment horizontal="left" vertical="top" wrapText="1"/>
    </xf>
    <xf numFmtId="9" fontId="4" fillId="16" borderId="34" xfId="0" applyNumberFormat="1" applyFont="1" applyFill="1" applyBorder="1" applyAlignment="1">
      <alignment horizontal="left" vertical="top" wrapText="1"/>
    </xf>
    <xf numFmtId="9" fontId="4" fillId="13" borderId="51" xfId="0" applyNumberFormat="1" applyFont="1" applyFill="1" applyBorder="1" applyAlignment="1">
      <alignment horizontal="left" vertical="top" wrapText="1"/>
    </xf>
    <xf numFmtId="0" fontId="0" fillId="12" borderId="33" xfId="0" applyFill="1" applyBorder="1" applyAlignment="1">
      <alignment horizontal="left"/>
    </xf>
    <xf numFmtId="165" fontId="0" fillId="17" borderId="34" xfId="0" applyNumberFormat="1" applyFill="1" applyBorder="1" applyAlignment="1">
      <alignment horizontal="left" vertical="top" wrapText="1"/>
    </xf>
    <xf numFmtId="9" fontId="4" fillId="16" borderId="30" xfId="0" applyNumberFormat="1" applyFont="1" applyFill="1" applyBorder="1" applyAlignment="1">
      <alignment horizontal="left" vertical="top" wrapText="1"/>
    </xf>
    <xf numFmtId="9" fontId="0" fillId="12" borderId="33" xfId="0" applyNumberFormat="1" applyFont="1" applyFill="1" applyBorder="1" applyAlignment="1">
      <alignment horizontal="left" vertical="top" wrapText="1"/>
    </xf>
    <xf numFmtId="0" fontId="4" fillId="0" borderId="23" xfId="0" applyFont="1" applyFill="1" applyBorder="1" applyAlignment="1">
      <alignment wrapText="1"/>
    </xf>
    <xf numFmtId="9" fontId="4" fillId="16" borderId="51" xfId="0" applyNumberFormat="1" applyFont="1" applyFill="1" applyBorder="1" applyAlignment="1">
      <alignment horizontal="left" vertical="top" wrapText="1"/>
    </xf>
    <xf numFmtId="165" fontId="4" fillId="16" borderId="34" xfId="0" applyNumberFormat="1" applyFont="1" applyFill="1" applyBorder="1" applyAlignment="1">
      <alignment horizontal="left" vertical="top" wrapText="1"/>
    </xf>
    <xf numFmtId="0" fontId="0" fillId="0" borderId="26" xfId="0" applyFill="1" applyBorder="1"/>
    <xf numFmtId="0" fontId="1" fillId="0" borderId="18" xfId="0" applyFont="1" applyFill="1" applyBorder="1"/>
    <xf numFmtId="0" fontId="0" fillId="0" borderId="27" xfId="0" applyFill="1" applyBorder="1"/>
    <xf numFmtId="0" fontId="0" fillId="0" borderId="20" xfId="0" applyFill="1" applyBorder="1"/>
    <xf numFmtId="0" fontId="0" fillId="19" borderId="33" xfId="0" applyFill="1" applyBorder="1"/>
    <xf numFmtId="0" fontId="4" fillId="19" borderId="32" xfId="0" applyFont="1" applyFill="1" applyBorder="1" applyAlignment="1">
      <alignment wrapText="1"/>
    </xf>
    <xf numFmtId="0" fontId="4" fillId="19" borderId="33" xfId="0" applyFont="1" applyFill="1" applyBorder="1" applyAlignment="1">
      <alignment wrapText="1"/>
    </xf>
    <xf numFmtId="0" fontId="0" fillId="19" borderId="33" xfId="0" applyFill="1" applyBorder="1" applyAlignment="1">
      <alignment wrapText="1"/>
    </xf>
    <xf numFmtId="165" fontId="4" fillId="13" borderId="33" xfId="0" applyNumberFormat="1" applyFont="1" applyFill="1" applyBorder="1" applyAlignment="1">
      <alignment horizontal="left" vertical="top" wrapText="1"/>
    </xf>
    <xf numFmtId="9" fontId="4" fillId="15" borderId="30" xfId="0" applyNumberFormat="1" applyFont="1" applyFill="1" applyBorder="1" applyAlignment="1">
      <alignment horizontal="left" vertical="top" wrapText="1"/>
    </xf>
    <xf numFmtId="0" fontId="0" fillId="0" borderId="0" xfId="0" applyBorder="1" applyAlignment="1">
      <alignment wrapText="1"/>
    </xf>
    <xf numFmtId="9" fontId="4" fillId="15" borderId="51" xfId="0" applyNumberFormat="1" applyFont="1" applyFill="1" applyBorder="1" applyAlignment="1">
      <alignment horizontal="left" vertical="top" wrapText="1"/>
    </xf>
    <xf numFmtId="166" fontId="4" fillId="12" borderId="34" xfId="0" applyNumberFormat="1" applyFont="1" applyFill="1" applyBorder="1" applyAlignment="1">
      <alignment horizontal="left" vertical="top" wrapText="1"/>
    </xf>
    <xf numFmtId="166" fontId="4" fillId="13" borderId="34" xfId="0" applyNumberFormat="1" applyFont="1" applyFill="1" applyBorder="1" applyAlignment="1">
      <alignment horizontal="left" vertical="top" wrapText="1"/>
    </xf>
    <xf numFmtId="1" fontId="4" fillId="12" borderId="51" xfId="0" applyNumberFormat="1" applyFont="1" applyFill="1" applyBorder="1" applyAlignment="1">
      <alignment horizontal="left" vertical="top" wrapText="1"/>
    </xf>
    <xf numFmtId="0" fontId="0" fillId="12" borderId="34" xfId="0" applyFill="1" applyBorder="1" applyAlignment="1">
      <alignment horizontal="left"/>
    </xf>
    <xf numFmtId="0" fontId="4" fillId="12" borderId="38" xfId="0" applyFont="1" applyFill="1" applyBorder="1" applyAlignment="1">
      <alignment horizontal="left" vertical="top" wrapText="1"/>
    </xf>
    <xf numFmtId="0" fontId="0" fillId="0" borderId="0" xfId="0" applyFill="1" applyAlignment="1">
      <alignment wrapText="1"/>
    </xf>
    <xf numFmtId="9" fontId="4" fillId="13" borderId="59" xfId="0" applyNumberFormat="1" applyFont="1" applyFill="1" applyBorder="1" applyAlignment="1">
      <alignment horizontal="left" vertical="top" wrapText="1"/>
    </xf>
    <xf numFmtId="9" fontId="4" fillId="14" borderId="59" xfId="0" applyNumberFormat="1" applyFont="1" applyFill="1" applyBorder="1" applyAlignment="1">
      <alignment horizontal="left" vertical="top" wrapText="1"/>
    </xf>
    <xf numFmtId="1" fontId="4" fillId="14" borderId="51" xfId="0" applyNumberFormat="1" applyFont="1" applyFill="1" applyBorder="1" applyAlignment="1">
      <alignment horizontal="left" vertical="top" wrapText="1"/>
    </xf>
    <xf numFmtId="166" fontId="4" fillId="14" borderId="33" xfId="0" applyNumberFormat="1" applyFont="1" applyFill="1" applyBorder="1" applyAlignment="1">
      <alignment horizontal="left" vertical="top" wrapText="1"/>
    </xf>
    <xf numFmtId="9" fontId="4" fillId="12" borderId="59" xfId="0" applyNumberFormat="1" applyFont="1" applyFill="1" applyBorder="1" applyAlignment="1">
      <alignment horizontal="left" vertical="top" wrapText="1"/>
    </xf>
    <xf numFmtId="166" fontId="4" fillId="12" borderId="33" xfId="0" applyNumberFormat="1" applyFont="1" applyFill="1" applyBorder="1" applyAlignment="1">
      <alignment horizontal="left" vertical="top" wrapText="1"/>
    </xf>
    <xf numFmtId="2" fontId="8" fillId="12" borderId="52" xfId="0" applyNumberFormat="1" applyFont="1" applyFill="1" applyBorder="1" applyAlignment="1">
      <alignment wrapText="1"/>
    </xf>
    <xf numFmtId="2" fontId="8" fillId="12" borderId="45" xfId="0" applyNumberFormat="1" applyFont="1" applyFill="1" applyBorder="1" applyAlignment="1">
      <alignment wrapText="1"/>
    </xf>
    <xf numFmtId="2" fontId="8" fillId="12" borderId="12" xfId="0" applyNumberFormat="1" applyFont="1" applyFill="1" applyBorder="1" applyAlignment="1">
      <alignment wrapText="1"/>
    </xf>
    <xf numFmtId="2" fontId="8" fillId="12" borderId="37" xfId="0" applyNumberFormat="1" applyFont="1" applyFill="1" applyBorder="1" applyAlignment="1">
      <alignment wrapText="1"/>
    </xf>
    <xf numFmtId="2" fontId="8" fillId="12" borderId="30" xfId="0" applyNumberFormat="1" applyFont="1" applyFill="1" applyBorder="1" applyAlignment="1">
      <alignment wrapText="1"/>
    </xf>
    <xf numFmtId="2" fontId="8" fillId="12" borderId="33" xfId="0" applyNumberFormat="1" applyFont="1" applyFill="1" applyBorder="1" applyAlignment="1">
      <alignment wrapText="1"/>
    </xf>
    <xf numFmtId="2" fontId="8" fillId="12" borderId="23" xfId="0" applyNumberFormat="1" applyFont="1" applyFill="1" applyBorder="1" applyAlignment="1">
      <alignment wrapText="1"/>
    </xf>
    <xf numFmtId="2" fontId="8" fillId="12" borderId="42" xfId="0" applyNumberFormat="1" applyFont="1" applyFill="1" applyBorder="1" applyAlignment="1">
      <alignment wrapText="1"/>
    </xf>
    <xf numFmtId="2" fontId="8" fillId="12" borderId="53" xfId="0" applyNumberFormat="1" applyFont="1" applyFill="1" applyBorder="1" applyAlignment="1">
      <alignment wrapText="1"/>
    </xf>
    <xf numFmtId="0" fontId="0" fillId="0" borderId="42" xfId="0" applyBorder="1" applyAlignment="1">
      <alignment wrapText="1"/>
    </xf>
    <xf numFmtId="0" fontId="0" fillId="0" borderId="42" xfId="0" applyFill="1" applyBorder="1" applyAlignment="1">
      <alignment wrapText="1"/>
    </xf>
    <xf numFmtId="0" fontId="1" fillId="0" borderId="42" xfId="0" applyFont="1" applyFill="1" applyBorder="1" applyAlignment="1">
      <alignment wrapText="1"/>
    </xf>
    <xf numFmtId="0" fontId="0" fillId="0" borderId="42" xfId="0" applyNumberFormat="1" applyFont="1" applyFill="1" applyBorder="1" applyAlignment="1" applyProtection="1">
      <alignment horizontal="left" vertical="top" wrapText="1"/>
    </xf>
    <xf numFmtId="0" fontId="4" fillId="0" borderId="42" xfId="0" applyFont="1" applyFill="1" applyBorder="1" applyAlignment="1">
      <alignment horizontal="left" vertical="top" wrapText="1"/>
    </xf>
    <xf numFmtId="0" fontId="1" fillId="0" borderId="60" xfId="0" applyFont="1" applyFill="1" applyBorder="1" applyAlignment="1">
      <alignment wrapText="1"/>
    </xf>
    <xf numFmtId="9" fontId="4" fillId="12" borderId="16" xfId="0" applyNumberFormat="1" applyFont="1" applyFill="1" applyBorder="1" applyAlignment="1">
      <alignment horizontal="left" vertical="top" wrapText="1"/>
    </xf>
    <xf numFmtId="9" fontId="4" fillId="15" borderId="16" xfId="0" applyNumberFormat="1" applyFont="1" applyFill="1" applyBorder="1" applyAlignment="1">
      <alignment horizontal="left" vertical="top" wrapText="1"/>
    </xf>
    <xf numFmtId="0" fontId="0" fillId="12" borderId="16" xfId="0" applyFill="1" applyBorder="1" applyAlignment="1">
      <alignment horizontal="left"/>
    </xf>
    <xf numFmtId="0" fontId="4" fillId="12" borderId="16" xfId="0" applyFont="1" applyFill="1" applyBorder="1" applyAlignment="1">
      <alignment horizontal="left" vertical="top" wrapText="1"/>
    </xf>
    <xf numFmtId="9" fontId="4" fillId="13" borderId="16" xfId="0" applyNumberFormat="1" applyFont="1" applyFill="1" applyBorder="1" applyAlignment="1">
      <alignment horizontal="left" vertical="top" wrapText="1"/>
    </xf>
    <xf numFmtId="166" fontId="4" fillId="13" borderId="33" xfId="0" applyNumberFormat="1" applyFont="1" applyFill="1" applyBorder="1" applyAlignment="1">
      <alignment horizontal="left" vertical="top" wrapText="1"/>
    </xf>
    <xf numFmtId="9" fontId="4" fillId="20" borderId="33" xfId="0" applyNumberFormat="1" applyFont="1" applyFill="1" applyBorder="1" applyAlignment="1">
      <alignment horizontal="left" vertical="top" wrapText="1"/>
    </xf>
    <xf numFmtId="9" fontId="4" fillId="20" borderId="34" xfId="0" applyNumberFormat="1" applyFont="1" applyFill="1" applyBorder="1" applyAlignment="1">
      <alignment horizontal="left" vertical="top" wrapText="1"/>
    </xf>
    <xf numFmtId="166" fontId="4" fillId="20" borderId="33" xfId="0" applyNumberFormat="1" applyFont="1" applyFill="1" applyBorder="1" applyAlignment="1">
      <alignment horizontal="left" vertical="top" wrapText="1"/>
    </xf>
    <xf numFmtId="9" fontId="4" fillId="12" borderId="19" xfId="0" applyNumberFormat="1" applyFont="1" applyFill="1" applyBorder="1" applyAlignment="1">
      <alignment horizontal="left" vertical="top" wrapText="1"/>
    </xf>
    <xf numFmtId="9" fontId="4" fillId="15" borderId="19" xfId="0" applyNumberFormat="1" applyFont="1" applyFill="1" applyBorder="1" applyAlignment="1">
      <alignment horizontal="left" vertical="top" wrapText="1"/>
    </xf>
    <xf numFmtId="9" fontId="4" fillId="21" borderId="19" xfId="0" applyNumberFormat="1" applyFont="1" applyFill="1" applyBorder="1" applyAlignment="1">
      <alignment horizontal="left" vertical="top" wrapText="1"/>
    </xf>
    <xf numFmtId="9" fontId="4" fillId="12" borderId="53" xfId="0" applyNumberFormat="1" applyFont="1" applyFill="1" applyBorder="1" applyAlignment="1">
      <alignment horizontal="left" vertical="top" wrapText="1"/>
    </xf>
    <xf numFmtId="165" fontId="4" fillId="15" borderId="34" xfId="0" applyNumberFormat="1" applyFont="1" applyFill="1" applyBorder="1" applyAlignment="1">
      <alignment horizontal="left" vertical="top" wrapText="1"/>
    </xf>
    <xf numFmtId="166" fontId="1" fillId="12" borderId="33" xfId="0" applyNumberFormat="1" applyFont="1" applyFill="1" applyBorder="1" applyAlignment="1">
      <alignment horizontal="left" vertical="top" wrapText="1"/>
    </xf>
    <xf numFmtId="0" fontId="7" fillId="0" borderId="45" xfId="0" applyFont="1" applyFill="1" applyBorder="1" applyAlignment="1">
      <alignment vertical="top" wrapText="1"/>
    </xf>
    <xf numFmtId="0" fontId="7" fillId="0" borderId="12" xfId="0" applyFont="1" applyFill="1" applyBorder="1" applyAlignment="1">
      <alignment vertical="top" wrapText="1"/>
    </xf>
    <xf numFmtId="0" fontId="1" fillId="0" borderId="33" xfId="0" applyFont="1" applyFill="1" applyBorder="1" applyAlignment="1">
      <alignment vertical="top" wrapText="1"/>
    </xf>
    <xf numFmtId="0" fontId="0" fillId="0" borderId="23" xfId="0" applyFill="1" applyBorder="1" applyAlignment="1">
      <alignment vertical="top" wrapText="1"/>
    </xf>
    <xf numFmtId="0" fontId="1" fillId="0" borderId="11" xfId="0" applyFont="1" applyFill="1" applyBorder="1" applyAlignment="1">
      <alignment wrapText="1"/>
    </xf>
    <xf numFmtId="0" fontId="1" fillId="0" borderId="45" xfId="0" applyFont="1" applyFill="1" applyBorder="1" applyAlignment="1">
      <alignment vertical="top" wrapText="1"/>
    </xf>
    <xf numFmtId="0" fontId="0" fillId="0" borderId="45" xfId="0" applyFill="1" applyBorder="1" applyAlignment="1">
      <alignment vertical="top" wrapText="1"/>
    </xf>
    <xf numFmtId="15" fontId="0" fillId="0" borderId="45" xfId="0" applyNumberFormat="1" applyFill="1" applyBorder="1" applyAlignment="1">
      <alignment vertical="top" wrapText="1"/>
    </xf>
    <xf numFmtId="0" fontId="7" fillId="0" borderId="45" xfId="0" applyFont="1" applyFill="1" applyBorder="1" applyAlignment="1">
      <alignment wrapText="1"/>
    </xf>
    <xf numFmtId="15" fontId="0" fillId="0" borderId="33" xfId="0" applyNumberFormat="1" applyFill="1" applyBorder="1" applyAlignment="1">
      <alignment wrapText="1"/>
    </xf>
    <xf numFmtId="0" fontId="1" fillId="0" borderId="13" xfId="0" applyFont="1" applyFill="1" applyBorder="1" applyAlignment="1">
      <alignment wrapText="1"/>
    </xf>
    <xf numFmtId="0" fontId="0" fillId="0" borderId="33" xfId="0" applyFill="1" applyBorder="1" applyAlignment="1">
      <alignment vertical="top" wrapText="1"/>
    </xf>
    <xf numFmtId="15" fontId="0" fillId="0" borderId="33" xfId="0" applyNumberFormat="1" applyFill="1" applyBorder="1" applyAlignment="1">
      <alignment vertical="top" wrapText="1"/>
    </xf>
    <xf numFmtId="0" fontId="1" fillId="0" borderId="33" xfId="0" applyFont="1" applyBorder="1"/>
    <xf numFmtId="17" fontId="0" fillId="0" borderId="33" xfId="0" applyNumberFormat="1" applyBorder="1"/>
    <xf numFmtId="0" fontId="0" fillId="18" borderId="33" xfId="0" applyFill="1" applyBorder="1"/>
    <xf numFmtId="0" fontId="0" fillId="0" borderId="33" xfId="0" applyFill="1" applyBorder="1"/>
    <xf numFmtId="0" fontId="9" fillId="0" borderId="2" xfId="0" applyFont="1" applyFill="1" applyBorder="1" applyAlignment="1">
      <alignment horizontal="center"/>
    </xf>
    <xf numFmtId="0" fontId="9" fillId="0" borderId="17" xfId="0" applyFont="1" applyFill="1" applyBorder="1" applyAlignment="1">
      <alignment horizontal="center"/>
    </xf>
    <xf numFmtId="0" fontId="9" fillId="0" borderId="3" xfId="0" applyFont="1" applyFill="1" applyBorder="1" applyAlignment="1">
      <alignment horizontal="center"/>
    </xf>
    <xf numFmtId="0" fontId="2" fillId="3" borderId="2" xfId="0" applyFont="1" applyFill="1" applyBorder="1" applyAlignment="1">
      <alignment horizontal="center"/>
    </xf>
    <xf numFmtId="0" fontId="2" fillId="3" borderId="17" xfId="0" applyFont="1" applyFill="1" applyBorder="1" applyAlignment="1">
      <alignment horizontal="center"/>
    </xf>
    <xf numFmtId="0" fontId="2" fillId="3" borderId="56" xfId="0" applyFont="1" applyFill="1" applyBorder="1" applyAlignment="1">
      <alignment horizontal="center"/>
    </xf>
    <xf numFmtId="0" fontId="2" fillId="3" borderId="3" xfId="0" applyFont="1" applyFill="1" applyBorder="1" applyAlignment="1">
      <alignment horizontal="center"/>
    </xf>
    <xf numFmtId="0" fontId="1" fillId="0" borderId="14" xfId="0" applyFont="1" applyFill="1" applyBorder="1" applyAlignment="1">
      <alignment horizontal="left" vertical="center" wrapText="1"/>
    </xf>
    <xf numFmtId="0" fontId="0" fillId="0" borderId="46" xfId="0" applyFill="1" applyBorder="1" applyAlignment="1">
      <alignment horizontal="left" vertical="center" wrapText="1"/>
    </xf>
    <xf numFmtId="14" fontId="0" fillId="0" borderId="48" xfId="0" applyNumberFormat="1" applyFill="1" applyBorder="1" applyAlignment="1">
      <alignment horizontal="center" vertical="center" wrapText="1"/>
    </xf>
    <xf numFmtId="0" fontId="0" fillId="0" borderId="47" xfId="0" applyFill="1" applyBorder="1" applyAlignment="1">
      <alignment horizontal="center" vertical="center" wrapText="1"/>
    </xf>
    <xf numFmtId="0" fontId="1" fillId="0" borderId="11" xfId="0" applyFont="1" applyBorder="1" applyAlignment="1">
      <alignment horizontal="left" vertical="center" wrapText="1"/>
    </xf>
    <xf numFmtId="0" fontId="0" fillId="0" borderId="45" xfId="0" applyBorder="1" applyAlignment="1">
      <alignment horizontal="left" vertical="center" wrapText="1"/>
    </xf>
    <xf numFmtId="0" fontId="1" fillId="0" borderId="54" xfId="0" applyFont="1" applyBorder="1" applyAlignment="1">
      <alignment horizontal="left" vertical="center" wrapText="1"/>
    </xf>
    <xf numFmtId="0" fontId="1" fillId="0" borderId="55" xfId="0" applyFont="1" applyBorder="1" applyAlignment="1">
      <alignment horizontal="left" vertical="center" wrapText="1"/>
    </xf>
    <xf numFmtId="0" fontId="1" fillId="0" borderId="41" xfId="0" applyFont="1" applyBorder="1" applyAlignment="1">
      <alignment horizontal="left" vertical="center" wrapText="1"/>
    </xf>
    <xf numFmtId="0" fontId="1" fillId="0" borderId="2" xfId="0" applyFont="1" applyBorder="1" applyAlignment="1">
      <alignment horizontal="left" vertical="center" wrapText="1"/>
    </xf>
    <xf numFmtId="0" fontId="0" fillId="0" borderId="17" xfId="0" applyBorder="1" applyAlignment="1">
      <alignment horizontal="left" vertical="center" wrapText="1"/>
    </xf>
    <xf numFmtId="0" fontId="0" fillId="0" borderId="50" xfId="0" applyBorder="1" applyAlignment="1">
      <alignment horizontal="left" vertical="center" wrapText="1"/>
    </xf>
    <xf numFmtId="0" fontId="1" fillId="0" borderId="56" xfId="0" applyFont="1" applyBorder="1" applyAlignment="1">
      <alignment horizontal="left" vertical="center" wrapText="1"/>
    </xf>
    <xf numFmtId="0" fontId="0" fillId="0" borderId="3" xfId="0" applyBorder="1" applyAlignment="1">
      <alignment horizontal="left" vertical="center" wrapText="1"/>
    </xf>
    <xf numFmtId="0" fontId="2" fillId="3" borderId="50" xfId="0" applyFont="1" applyFill="1" applyBorder="1" applyAlignment="1">
      <alignment horizontal="center"/>
    </xf>
    <xf numFmtId="14" fontId="1" fillId="0" borderId="48" xfId="0" applyNumberFormat="1" applyFont="1" applyFill="1" applyBorder="1" applyAlignment="1">
      <alignment horizontal="center" vertical="center" wrapText="1"/>
    </xf>
    <xf numFmtId="0" fontId="1" fillId="0" borderId="5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11" borderId="30" xfId="0" applyFont="1" applyFill="1" applyBorder="1" applyAlignment="1">
      <alignment vertical="center" wrapText="1"/>
    </xf>
    <xf numFmtId="0" fontId="1" fillId="11" borderId="33" xfId="0" applyFont="1" applyFill="1" applyBorder="1" applyAlignment="1">
      <alignment vertical="center" wrapText="1"/>
    </xf>
    <xf numFmtId="0" fontId="1" fillId="11" borderId="23" xfId="0" applyFont="1" applyFill="1" applyBorder="1" applyAlignment="1">
      <alignment vertical="center" wrapText="1"/>
    </xf>
    <xf numFmtId="0" fontId="0" fillId="0" borderId="46" xfId="0" applyBorder="1" applyAlignment="1">
      <alignment horizontal="center" vertical="center" wrapText="1"/>
    </xf>
    <xf numFmtId="0" fontId="0" fillId="0" borderId="24" xfId="0" applyBorder="1" applyAlignment="1">
      <alignment horizontal="center" vertical="center" wrapText="1"/>
    </xf>
    <xf numFmtId="0" fontId="0" fillId="0" borderId="57" xfId="0" applyBorder="1" applyAlignment="1">
      <alignment horizontal="left" vertical="center" wrapText="1"/>
    </xf>
    <xf numFmtId="0" fontId="0" fillId="0" borderId="49" xfId="0" applyBorder="1" applyAlignment="1">
      <alignment horizontal="left" vertical="center" wrapText="1"/>
    </xf>
    <xf numFmtId="0" fontId="0" fillId="0" borderId="47" xfId="0" applyBorder="1" applyAlignment="1">
      <alignment horizontal="left" vertical="center" wrapText="1"/>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41" xfId="0" applyFont="1" applyBorder="1" applyAlignment="1">
      <alignment horizontal="center" vertical="center" wrapText="1"/>
    </xf>
    <xf numFmtId="0" fontId="4" fillId="0" borderId="26" xfId="0" applyFont="1" applyBorder="1" applyAlignment="1">
      <alignment horizontal="left" vertical="center" wrapText="1"/>
    </xf>
    <xf numFmtId="0" fontId="0" fillId="0" borderId="55" xfId="0" applyBorder="1" applyAlignment="1">
      <alignment horizontal="left" vertical="center" wrapText="1"/>
    </xf>
    <xf numFmtId="0" fontId="0" fillId="0" borderId="52" xfId="0" applyBorder="1" applyAlignment="1">
      <alignment horizontal="left" vertical="center" wrapText="1"/>
    </xf>
    <xf numFmtId="0" fontId="1" fillId="11" borderId="48" xfId="0" applyFont="1" applyFill="1" applyBorder="1" applyAlignment="1">
      <alignment vertical="center" wrapText="1"/>
    </xf>
    <xf numFmtId="0" fontId="1" fillId="11" borderId="49" xfId="0" applyFont="1" applyFill="1" applyBorder="1" applyAlignment="1">
      <alignment vertical="center" wrapText="1"/>
    </xf>
    <xf numFmtId="0" fontId="1" fillId="11" borderId="43" xfId="0" applyFont="1" applyFill="1" applyBorder="1" applyAlignment="1">
      <alignment vertical="center" wrapText="1"/>
    </xf>
    <xf numFmtId="0" fontId="1" fillId="11" borderId="57" xfId="0" applyFont="1" applyFill="1" applyBorder="1" applyAlignment="1">
      <alignment vertical="center" wrapText="1"/>
    </xf>
    <xf numFmtId="0" fontId="1" fillId="11" borderId="47" xfId="0" applyFont="1" applyFill="1" applyBorder="1" applyAlignment="1">
      <alignment vertical="center" wrapText="1"/>
    </xf>
    <xf numFmtId="0" fontId="3" fillId="3" borderId="56" xfId="0" applyFont="1" applyFill="1" applyBorder="1" applyAlignment="1">
      <alignment horizontal="center"/>
    </xf>
    <xf numFmtId="0" fontId="3" fillId="3" borderId="17" xfId="0" applyFont="1" applyFill="1" applyBorder="1" applyAlignment="1">
      <alignment horizontal="center"/>
    </xf>
    <xf numFmtId="0" fontId="3" fillId="3" borderId="3" xfId="0" applyFont="1" applyFill="1" applyBorder="1" applyAlignment="1">
      <alignment horizontal="center"/>
    </xf>
    <xf numFmtId="0" fontId="0" fillId="0" borderId="14" xfId="0" applyFont="1" applyBorder="1" applyAlignment="1">
      <alignment horizontal="left" vertical="center" wrapText="1"/>
    </xf>
    <xf numFmtId="0" fontId="0" fillId="0" borderId="46" xfId="0" applyBorder="1" applyAlignment="1">
      <alignment horizontal="left" vertical="center" wrapText="1"/>
    </xf>
    <xf numFmtId="14" fontId="0" fillId="0" borderId="48" xfId="0" applyNumberFormat="1" applyBorder="1" applyAlignment="1">
      <alignment horizontal="center" vertical="center" wrapText="1"/>
    </xf>
    <xf numFmtId="0" fontId="0" fillId="0" borderId="47" xfId="0" applyBorder="1" applyAlignment="1">
      <alignment horizontal="center" vertical="center" wrapText="1"/>
    </xf>
    <xf numFmtId="0" fontId="0" fillId="0" borderId="56" xfId="0" applyFont="1" applyBorder="1" applyAlignment="1">
      <alignment horizontal="left" vertical="center" wrapText="1"/>
    </xf>
    <xf numFmtId="0" fontId="0" fillId="0" borderId="17" xfId="0" applyFont="1" applyBorder="1" applyAlignment="1">
      <alignment horizontal="left" vertical="center" wrapText="1"/>
    </xf>
    <xf numFmtId="0" fontId="0" fillId="0" borderId="3" xfId="0" applyFont="1" applyBorder="1" applyAlignment="1">
      <alignment horizontal="left" vertical="center" wrapText="1"/>
    </xf>
    <xf numFmtId="0" fontId="2" fillId="3" borderId="58" xfId="0" applyFont="1" applyFill="1" applyBorder="1" applyAlignment="1">
      <alignment horizontal="center"/>
    </xf>
    <xf numFmtId="0" fontId="2" fillId="3" borderId="8" xfId="0" applyFont="1" applyFill="1" applyBorder="1" applyAlignment="1">
      <alignment horizontal="center"/>
    </xf>
    <xf numFmtId="0" fontId="1" fillId="11" borderId="52" xfId="0" applyFont="1" applyFill="1" applyBorder="1" applyAlignment="1">
      <alignment vertical="center" wrapText="1"/>
    </xf>
    <xf numFmtId="0" fontId="1" fillId="11" borderId="45" xfId="0" applyFont="1" applyFill="1" applyBorder="1" applyAlignment="1">
      <alignment vertical="center" wrapText="1"/>
    </xf>
    <xf numFmtId="0" fontId="1" fillId="11" borderId="45" xfId="0" applyFont="1" applyFill="1" applyBorder="1" applyAlignment="1">
      <alignment horizontal="left" vertical="center" wrapText="1"/>
    </xf>
    <xf numFmtId="0" fontId="1" fillId="11" borderId="12" xfId="0" applyFont="1" applyFill="1" applyBorder="1" applyAlignment="1">
      <alignment horizontal="left" vertical="center" wrapText="1"/>
    </xf>
    <xf numFmtId="0" fontId="2" fillId="3" borderId="5" xfId="0" applyFont="1" applyFill="1" applyBorder="1" applyAlignment="1">
      <alignment horizontal="center"/>
    </xf>
    <xf numFmtId="0" fontId="1" fillId="11" borderId="33" xfId="0" applyFont="1" applyFill="1" applyBorder="1" applyAlignment="1">
      <alignment horizontal="left" vertical="center" wrapText="1"/>
    </xf>
    <xf numFmtId="0" fontId="1" fillId="11" borderId="23" xfId="0" applyFont="1" applyFill="1" applyBorder="1" applyAlignment="1">
      <alignment horizontal="left" vertical="center" wrapText="1"/>
    </xf>
    <xf numFmtId="14" fontId="4" fillId="0" borderId="54" xfId="0" applyNumberFormat="1" applyFont="1" applyBorder="1" applyAlignment="1">
      <alignment horizontal="center" vertical="center" wrapText="1"/>
    </xf>
    <xf numFmtId="0" fontId="0" fillId="0" borderId="52" xfId="0" applyBorder="1" applyAlignment="1">
      <alignment horizontal="center" vertical="center" wrapText="1"/>
    </xf>
    <xf numFmtId="14" fontId="1" fillId="0" borderId="34" xfId="0" applyNumberFormat="1" applyFont="1" applyBorder="1" applyAlignment="1">
      <alignment horizontal="center" vertical="center" wrapText="1"/>
    </xf>
    <xf numFmtId="0" fontId="0" fillId="0" borderId="30" xfId="0" applyBorder="1" applyAlignment="1">
      <alignment horizontal="center" vertical="center" wrapText="1"/>
    </xf>
    <xf numFmtId="0" fontId="4" fillId="0" borderId="55" xfId="0" applyFont="1" applyBorder="1" applyAlignment="1">
      <alignment horizontal="left" vertical="center" wrapText="1"/>
    </xf>
    <xf numFmtId="0" fontId="4" fillId="0" borderId="41" xfId="0" applyFont="1" applyBorder="1" applyAlignment="1">
      <alignment horizontal="left" vertical="center" wrapText="1"/>
    </xf>
    <xf numFmtId="0" fontId="3" fillId="3" borderId="34" xfId="0" applyFont="1" applyFill="1" applyBorder="1" applyAlignment="1">
      <alignment horizontal="center"/>
    </xf>
    <xf numFmtId="0" fontId="2" fillId="3" borderId="30" xfId="0" applyFont="1" applyFill="1" applyBorder="1" applyAlignment="1">
      <alignment horizontal="center"/>
    </xf>
    <xf numFmtId="0" fontId="4" fillId="0" borderId="11" xfId="0" applyFont="1" applyBorder="1" applyAlignment="1">
      <alignment horizontal="left" vertical="center" wrapText="1"/>
    </xf>
    <xf numFmtId="14" fontId="0" fillId="0" borderId="54" xfId="0" applyNumberFormat="1" applyBorder="1" applyAlignment="1">
      <alignment horizontal="center" vertical="center" wrapText="1"/>
    </xf>
    <xf numFmtId="0" fontId="4" fillId="0" borderId="54" xfId="0" applyFont="1" applyBorder="1" applyAlignment="1">
      <alignment horizontal="left" vertical="center" wrapText="1"/>
    </xf>
    <xf numFmtId="0" fontId="4" fillId="0" borderId="17" xfId="0" applyFont="1" applyBorder="1" applyAlignment="1">
      <alignment horizontal="left" vertical="center" wrapText="1"/>
    </xf>
    <xf numFmtId="0" fontId="4" fillId="0" borderId="50" xfId="0" applyFont="1" applyBorder="1" applyAlignment="1">
      <alignment horizontal="left" vertical="center" wrapText="1"/>
    </xf>
    <xf numFmtId="14" fontId="1" fillId="0" borderId="54" xfId="0" applyNumberFormat="1" applyFont="1" applyBorder="1" applyAlignment="1">
      <alignment horizontal="center" vertical="center" wrapText="1"/>
    </xf>
    <xf numFmtId="0" fontId="1" fillId="0" borderId="34" xfId="0" applyFont="1" applyBorder="1" applyAlignment="1">
      <alignment horizontal="center" vertical="center" wrapText="1"/>
    </xf>
    <xf numFmtId="0" fontId="1" fillId="0" borderId="17" xfId="0" applyFont="1" applyBorder="1" applyAlignment="1">
      <alignment horizontal="left" vertical="center" wrapText="1"/>
    </xf>
    <xf numFmtId="0" fontId="1" fillId="0" borderId="3" xfId="0" applyFont="1" applyBorder="1" applyAlignment="1">
      <alignment horizontal="left" vertical="center" wrapText="1"/>
    </xf>
    <xf numFmtId="0" fontId="0" fillId="0" borderId="14" xfId="0" applyBorder="1" applyAlignment="1">
      <alignment horizontal="left" vertical="center" wrapText="1"/>
    </xf>
    <xf numFmtId="0" fontId="0" fillId="0" borderId="34" xfId="0" applyBorder="1" applyAlignment="1">
      <alignment horizontal="left" vertical="center" wrapText="1"/>
    </xf>
    <xf numFmtId="0" fontId="0" fillId="0" borderId="30" xfId="0" applyBorder="1" applyAlignment="1">
      <alignment horizontal="left" vertical="center" wrapText="1"/>
    </xf>
    <xf numFmtId="0" fontId="0" fillId="0" borderId="48" xfId="0" applyBorder="1" applyAlignment="1">
      <alignment horizontal="left" vertical="center" wrapText="1"/>
    </xf>
    <xf numFmtId="0" fontId="0" fillId="0" borderId="43" xfId="0" applyBorder="1" applyAlignment="1">
      <alignment horizontal="left" vertical="center" wrapText="1"/>
    </xf>
    <xf numFmtId="14" fontId="1" fillId="0" borderId="56" xfId="0" applyNumberFormat="1" applyFont="1" applyBorder="1" applyAlignment="1">
      <alignment horizontal="left" vertical="center" wrapText="1"/>
    </xf>
    <xf numFmtId="0" fontId="1" fillId="0" borderId="14" xfId="0" applyFont="1" applyBorder="1" applyAlignment="1">
      <alignment horizontal="left" vertical="center" wrapText="1"/>
    </xf>
    <xf numFmtId="0" fontId="1" fillId="0" borderId="14" xfId="0" applyFont="1" applyBorder="1" applyAlignment="1">
      <alignment horizontal="center" vertical="center"/>
    </xf>
    <xf numFmtId="0" fontId="0" fillId="0" borderId="46" xfId="0" applyBorder="1" applyAlignment="1">
      <alignment horizontal="center" vertical="center"/>
    </xf>
    <xf numFmtId="14" fontId="0" fillId="0" borderId="46" xfId="0" applyNumberFormat="1" applyBorder="1" applyAlignment="1">
      <alignment horizontal="center" vertical="center"/>
    </xf>
    <xf numFmtId="0" fontId="0" fillId="0" borderId="24" xfId="0" applyBorder="1" applyAlignment="1">
      <alignment horizontal="center" vertical="center"/>
    </xf>
    <xf numFmtId="0" fontId="1" fillId="0" borderId="13" xfId="0" applyFont="1" applyBorder="1" applyAlignment="1">
      <alignment horizontal="center" vertical="center"/>
    </xf>
    <xf numFmtId="0" fontId="0" fillId="0" borderId="33" xfId="0" applyBorder="1" applyAlignment="1">
      <alignment horizontal="center" vertical="center"/>
    </xf>
    <xf numFmtId="14" fontId="0" fillId="0" borderId="33" xfId="0" applyNumberFormat="1" applyBorder="1" applyAlignment="1">
      <alignment horizontal="center" vertical="center"/>
    </xf>
    <xf numFmtId="0" fontId="0" fillId="0" borderId="34" xfId="0" applyBorder="1" applyAlignment="1">
      <alignment horizontal="center" vertical="center" wrapText="1"/>
    </xf>
    <xf numFmtId="0" fontId="0" fillId="0" borderId="51" xfId="0" applyBorder="1" applyAlignment="1">
      <alignment horizontal="center" vertical="center" wrapText="1"/>
    </xf>
    <xf numFmtId="0" fontId="0" fillId="0" borderId="42" xfId="0" applyBorder="1" applyAlignment="1">
      <alignment horizontal="center" vertical="center" wrapText="1"/>
    </xf>
    <xf numFmtId="15" fontId="0" fillId="0" borderId="34" xfId="0" applyNumberFormat="1" applyBorder="1" applyAlignment="1">
      <alignment horizontal="center"/>
    </xf>
    <xf numFmtId="0" fontId="0" fillId="0" borderId="30" xfId="0" applyBorder="1" applyAlignment="1">
      <alignment horizontal="center"/>
    </xf>
    <xf numFmtId="0" fontId="1" fillId="0" borderId="33" xfId="0" applyFont="1" applyBorder="1" applyAlignment="1">
      <alignment horizontal="center" vertical="center"/>
    </xf>
    <xf numFmtId="0" fontId="0" fillId="0" borderId="23" xfId="0" applyBorder="1" applyAlignment="1">
      <alignment horizontal="center" vertical="center"/>
    </xf>
    <xf numFmtId="0" fontId="1" fillId="0" borderId="2" xfId="0" quotePrefix="1" applyFont="1" applyBorder="1" applyAlignment="1">
      <alignment horizontal="center" vertical="center" wrapText="1"/>
    </xf>
    <xf numFmtId="0" fontId="0" fillId="0" borderId="17" xfId="0" applyBorder="1" applyAlignment="1">
      <alignment horizontal="center" vertical="center" wrapText="1"/>
    </xf>
    <xf numFmtId="0" fontId="0" fillId="0" borderId="50" xfId="0" applyBorder="1" applyAlignment="1">
      <alignment horizontal="center" vertical="center" wrapText="1"/>
    </xf>
    <xf numFmtId="15" fontId="1" fillId="0" borderId="34" xfId="0" applyNumberFormat="1" applyFont="1" applyBorder="1" applyAlignment="1">
      <alignment horizontal="center"/>
    </xf>
  </cellXfs>
  <cellStyles count="139">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Normal" xfId="0" builtinId="0"/>
    <cellStyle name="Normal 2" xfId="2"/>
    <cellStyle name="Normal_Tier-1 Quarterly Repor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00"/>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X58"/>
  <sheetViews>
    <sheetView tabSelected="1" zoomScale="90" zoomScaleNormal="90" zoomScalePageLayoutView="90" workbookViewId="0">
      <pane xSplit="6" ySplit="8" topLeftCell="T9" activePane="bottomRight" state="frozen"/>
      <selection pane="topRight" activeCell="G1" sqref="G1"/>
      <selection pane="bottomLeft" activeCell="A9" sqref="A9"/>
      <selection pane="bottomRight" activeCell="X49" sqref="X49"/>
    </sheetView>
  </sheetViews>
  <sheetFormatPr defaultColWidth="8.85546875" defaultRowHeight="12.75" x14ac:dyDescent="0.2"/>
  <cols>
    <col min="1" max="1" width="12.28515625" customWidth="1"/>
    <col min="2" max="2" width="15.85546875" customWidth="1"/>
    <col min="3" max="3" width="27.28515625" customWidth="1"/>
    <col min="4" max="4" width="17.42578125" customWidth="1"/>
    <col min="5" max="5" width="16.28515625" hidden="1" customWidth="1"/>
    <col min="6" max="6" width="11.42578125" bestFit="1" customWidth="1"/>
    <col min="7" max="10" width="11.42578125" customWidth="1"/>
    <col min="11" max="12" width="13.7109375" customWidth="1"/>
    <col min="13" max="23" width="14.140625" style="27" customWidth="1"/>
    <col min="24" max="24" width="37.85546875" customWidth="1"/>
  </cols>
  <sheetData>
    <row r="1" spans="1:24" ht="13.5" thickBot="1" x14ac:dyDescent="0.25"/>
    <row r="2" spans="1:24" x14ac:dyDescent="0.2">
      <c r="A2" s="2" t="s">
        <v>24</v>
      </c>
      <c r="B2" s="3"/>
      <c r="C2" s="28"/>
      <c r="K2" s="166"/>
      <c r="L2" s="24"/>
      <c r="M2" s="47" t="s">
        <v>31</v>
      </c>
      <c r="N2" s="176"/>
      <c r="O2" s="176"/>
      <c r="P2" s="176"/>
      <c r="Q2" s="176"/>
      <c r="R2" s="176"/>
      <c r="S2" s="176"/>
      <c r="T2" s="176"/>
      <c r="U2" s="176"/>
      <c r="V2" s="176"/>
      <c r="W2" s="176"/>
    </row>
    <row r="3" spans="1:24" x14ac:dyDescent="0.2">
      <c r="A3" s="4" t="s">
        <v>28</v>
      </c>
      <c r="B3" s="19" t="s">
        <v>53</v>
      </c>
      <c r="C3" s="28"/>
      <c r="K3" s="167"/>
      <c r="L3" s="23"/>
      <c r="M3" s="48" t="s">
        <v>46</v>
      </c>
      <c r="N3" s="176"/>
      <c r="O3" s="176"/>
      <c r="P3" s="176"/>
      <c r="Q3" s="176"/>
      <c r="R3" s="176"/>
      <c r="S3" s="176"/>
      <c r="T3" s="176"/>
      <c r="U3" s="176"/>
      <c r="V3" s="176"/>
      <c r="W3" s="176"/>
    </row>
    <row r="4" spans="1:24" x14ac:dyDescent="0.2">
      <c r="A4" s="4" t="s">
        <v>25</v>
      </c>
      <c r="B4" s="78" t="s">
        <v>237</v>
      </c>
      <c r="C4" s="28"/>
      <c r="D4" s="31"/>
      <c r="E4" s="31"/>
      <c r="F4" s="31"/>
      <c r="G4" s="31"/>
      <c r="H4" s="31"/>
      <c r="I4" s="31"/>
      <c r="J4" s="31"/>
      <c r="K4" s="168"/>
      <c r="L4" s="25"/>
      <c r="M4" s="48" t="s">
        <v>32</v>
      </c>
      <c r="N4" s="176"/>
      <c r="O4" s="176"/>
      <c r="P4" s="176"/>
      <c r="Q4" s="176"/>
      <c r="R4" s="176"/>
      <c r="S4" s="176"/>
      <c r="T4" s="176"/>
      <c r="U4" s="176"/>
      <c r="V4" s="176"/>
      <c r="W4" s="176"/>
    </row>
    <row r="5" spans="1:24" ht="26.25" thickBot="1" x14ac:dyDescent="0.25">
      <c r="A5" s="5" t="s">
        <v>29</v>
      </c>
      <c r="B5" s="20" t="s">
        <v>54</v>
      </c>
      <c r="C5" s="28"/>
      <c r="K5" s="168"/>
      <c r="L5" s="26"/>
      <c r="M5" s="48" t="s">
        <v>44</v>
      </c>
      <c r="N5" s="176"/>
      <c r="O5" s="176"/>
      <c r="P5" s="176"/>
      <c r="Q5" s="176"/>
      <c r="R5" s="176"/>
      <c r="S5" s="176"/>
      <c r="T5" s="176"/>
      <c r="U5" s="176"/>
      <c r="V5" s="176"/>
      <c r="W5" s="176"/>
    </row>
    <row r="6" spans="1:24" ht="13.5" thickBot="1" x14ac:dyDescent="0.25">
      <c r="A6" s="36"/>
      <c r="B6" s="30"/>
      <c r="K6" s="169"/>
      <c r="L6" s="16"/>
      <c r="M6" s="49" t="s">
        <v>34</v>
      </c>
      <c r="N6" s="176"/>
      <c r="O6" s="176"/>
      <c r="P6" s="176"/>
      <c r="Q6" s="176"/>
      <c r="R6" s="176"/>
      <c r="S6" s="176"/>
      <c r="T6" s="176"/>
      <c r="U6" s="176"/>
      <c r="V6" s="176"/>
      <c r="W6" s="176"/>
    </row>
    <row r="7" spans="1:24" ht="13.5" thickBot="1" x14ac:dyDescent="0.25"/>
    <row r="8" spans="1:24" ht="13.5" thickBot="1" x14ac:dyDescent="0.25">
      <c r="A8" s="7" t="s">
        <v>69</v>
      </c>
      <c r="B8" s="7" t="s">
        <v>68</v>
      </c>
      <c r="C8" s="7" t="s">
        <v>27</v>
      </c>
      <c r="D8" s="8" t="s">
        <v>47</v>
      </c>
      <c r="E8" s="7" t="s">
        <v>26</v>
      </c>
      <c r="F8" s="7" t="s">
        <v>30</v>
      </c>
      <c r="G8" s="64" t="s">
        <v>82</v>
      </c>
      <c r="H8" s="64" t="s">
        <v>83</v>
      </c>
      <c r="I8" s="64" t="s">
        <v>84</v>
      </c>
      <c r="J8" s="64" t="s">
        <v>85</v>
      </c>
      <c r="K8" s="64" t="s">
        <v>187</v>
      </c>
      <c r="L8" s="64" t="s">
        <v>189</v>
      </c>
      <c r="M8" s="64" t="s">
        <v>202</v>
      </c>
      <c r="N8" s="64" t="s">
        <v>203</v>
      </c>
      <c r="O8" s="64" t="s">
        <v>206</v>
      </c>
      <c r="P8" s="64" t="s">
        <v>207</v>
      </c>
      <c r="Q8" s="64" t="s">
        <v>208</v>
      </c>
      <c r="R8" s="64" t="s">
        <v>209</v>
      </c>
      <c r="S8" s="64" t="s">
        <v>216</v>
      </c>
      <c r="T8" s="64" t="s">
        <v>219</v>
      </c>
      <c r="U8" s="64" t="s">
        <v>220</v>
      </c>
      <c r="V8" s="64" t="s">
        <v>234</v>
      </c>
      <c r="W8" s="64" t="s">
        <v>237</v>
      </c>
      <c r="X8" s="50" t="s">
        <v>33</v>
      </c>
    </row>
    <row r="9" spans="1:24" ht="25.5" x14ac:dyDescent="0.2">
      <c r="A9" s="79" t="s">
        <v>86</v>
      </c>
      <c r="B9" s="37"/>
      <c r="C9" s="92" t="s">
        <v>124</v>
      </c>
      <c r="D9" s="170"/>
      <c r="E9" s="39" t="s">
        <v>61</v>
      </c>
      <c r="F9" s="40">
        <v>1</v>
      </c>
      <c r="G9" s="97">
        <f>(1.1+1.1+1.1)/3</f>
        <v>1.1000000000000001</v>
      </c>
      <c r="H9" s="97">
        <f>(1.12+1.17+1.117)/3</f>
        <v>1.1356666666666666</v>
      </c>
      <c r="I9" s="97">
        <f>(1+1+1)/3</f>
        <v>1</v>
      </c>
      <c r="J9" s="98">
        <v>1</v>
      </c>
      <c r="K9" s="97">
        <f>(1.13+1.13+1.13)/3</f>
        <v>1.1299999999999999</v>
      </c>
      <c r="L9" s="97">
        <f>(1.13+1.22+1.22)/3</f>
        <v>1.1899999999999997</v>
      </c>
      <c r="M9" s="97">
        <f>1.26</f>
        <v>1.26</v>
      </c>
      <c r="N9" s="97">
        <f>(1.24+1.24+1.24)/3</f>
        <v>1.24</v>
      </c>
      <c r="O9" s="97">
        <f>(1.03+1.03+1.03)/3</f>
        <v>1.03</v>
      </c>
      <c r="P9" s="97">
        <f>(1+1.05)/2</f>
        <v>1.0249999999999999</v>
      </c>
      <c r="Q9" s="97">
        <f>(1.05+1.05+1.05)/3</f>
        <v>1.05</v>
      </c>
      <c r="R9" s="97">
        <f>(1.05+1.05+1.05)/3</f>
        <v>1.05</v>
      </c>
      <c r="S9" s="97">
        <f>(1.19+1.05+1.05)/3</f>
        <v>1.0966666666666667</v>
      </c>
      <c r="T9" s="97">
        <f>(1.05+1.05+1.05)/3</f>
        <v>1.05</v>
      </c>
      <c r="U9" s="97">
        <f>(1.05+1.05+1.05)/3</f>
        <v>1.05</v>
      </c>
      <c r="V9" s="97">
        <f>(1.05+1.05+1.05)/3</f>
        <v>1.05</v>
      </c>
      <c r="W9" s="97">
        <f>(1.14+1.14+1.18)/3</f>
        <v>1.1533333333333333</v>
      </c>
      <c r="X9" s="199"/>
    </row>
    <row r="10" spans="1:24" ht="25.5" x14ac:dyDescent="0.2">
      <c r="A10" s="79" t="s">
        <v>87</v>
      </c>
      <c r="B10" s="37"/>
      <c r="C10" s="91" t="s">
        <v>166</v>
      </c>
      <c r="D10" s="170"/>
      <c r="E10" s="39" t="s">
        <v>61</v>
      </c>
      <c r="F10" s="40">
        <v>1</v>
      </c>
      <c r="G10" s="97">
        <f>(1.051+1.062+1.06)/3</f>
        <v>1.0576666666666668</v>
      </c>
      <c r="H10" s="97">
        <f>(0.946+1.092+1.11)/3</f>
        <v>1.0493333333333335</v>
      </c>
      <c r="I10" s="97">
        <f>(1.105+1.07+1.104)/3</f>
        <v>1.093</v>
      </c>
      <c r="J10" s="97">
        <f>(1.114+1.09+1.22)/3</f>
        <v>1.1413333333333335</v>
      </c>
      <c r="K10" s="97">
        <f>(1.21+1.28+1.16)/3</f>
        <v>1.2166666666666668</v>
      </c>
      <c r="L10" s="97">
        <f>(1.2+1.291+1.28)/3</f>
        <v>1.2569999999999999</v>
      </c>
      <c r="M10" s="97">
        <f>(1.26+1.15)/2</f>
        <v>1.2050000000000001</v>
      </c>
      <c r="N10" s="97">
        <f>(1.27+1.3+1.3)/3</f>
        <v>1.29</v>
      </c>
      <c r="O10" s="97">
        <f>(1.26+1.04+1.06)/3</f>
        <v>1.1199999999999999</v>
      </c>
      <c r="P10" s="97">
        <f>(1.02+1)/2</f>
        <v>1.01</v>
      </c>
      <c r="Q10" s="97">
        <f>(1.1+1.18+1.14)/3</f>
        <v>1.1399999999999999</v>
      </c>
      <c r="R10" s="97">
        <f>(1.16+1.18+1.05)/3</f>
        <v>1.1299999999999999</v>
      </c>
      <c r="S10" s="97">
        <f>(1.3+1.31+1.32)/3</f>
        <v>1.3100000000000003</v>
      </c>
      <c r="T10" s="97">
        <f>(1.32+1.32+1.32)/3</f>
        <v>1.32</v>
      </c>
      <c r="U10" s="97">
        <f>(1.3+1.3+1.28)/3</f>
        <v>1.2933333333333332</v>
      </c>
      <c r="V10" s="97">
        <f>(1.19+1.15+1.12)/3</f>
        <v>1.1533333333333333</v>
      </c>
      <c r="W10" s="97">
        <f>(0.92+1.06+1.24)/3</f>
        <v>1.0733333333333333</v>
      </c>
      <c r="X10" s="199"/>
    </row>
    <row r="11" spans="1:24" ht="26.25" thickBot="1" x14ac:dyDescent="0.25">
      <c r="A11" s="79" t="s">
        <v>88</v>
      </c>
      <c r="B11" s="37"/>
      <c r="C11" s="91" t="s">
        <v>125</v>
      </c>
      <c r="D11" s="170"/>
      <c r="E11" s="39" t="s">
        <v>61</v>
      </c>
      <c r="F11" s="40">
        <v>0.99</v>
      </c>
      <c r="G11" s="97">
        <f>(1+0.9993+0.9997)/3</f>
        <v>0.99966666666666659</v>
      </c>
      <c r="H11" s="97">
        <f>(0.9974+1+0.991)/3</f>
        <v>0.99613333333333332</v>
      </c>
      <c r="I11" s="97">
        <f>(0.9991+0.9985+0.9965)/3</f>
        <v>0.99803333333333333</v>
      </c>
      <c r="J11" s="97">
        <f>(0.9912+1)/2</f>
        <v>0.99560000000000004</v>
      </c>
      <c r="K11" s="105">
        <f>(1+0.9965+0.9243)/3</f>
        <v>0.97360000000000013</v>
      </c>
      <c r="L11" s="97">
        <f>(1+1+1)/3</f>
        <v>1</v>
      </c>
      <c r="M11" s="106">
        <f>(1+0.9517+0.9968)/3</f>
        <v>0.98283333333333334</v>
      </c>
      <c r="N11" s="97">
        <f>(1+0.999+0.986)/3</f>
        <v>0.99500000000000011</v>
      </c>
      <c r="O11" s="97">
        <f>(0.986+1 + 1)/3</f>
        <v>0.99533333333333329</v>
      </c>
      <c r="P11" s="97">
        <f>(1 + 0.999 + 1)/3</f>
        <v>0.9996666666666667</v>
      </c>
      <c r="Q11" s="97">
        <f>(0.995 + 0.988 + 1)/3</f>
        <v>0.9943333333333334</v>
      </c>
      <c r="R11" s="97">
        <f>(1 + 1 + 0.9988)/3</f>
        <v>0.99960000000000004</v>
      </c>
      <c r="S11" s="97">
        <f>(0.986 + 1 + 1)/3</f>
        <v>0.99533333333333329</v>
      </c>
      <c r="T11" s="97">
        <f>(0.9992 + 1 + 1)/3</f>
        <v>0.99973333333333336</v>
      </c>
      <c r="U11" s="97">
        <f>(0.9947 + 0.9993 + 0.9938)/3</f>
        <v>0.99593333333333334</v>
      </c>
      <c r="V11" s="97">
        <f>(1+1+1)/3</f>
        <v>1</v>
      </c>
      <c r="W11" s="97">
        <f>(0.9936 + 1 + 0.9979)/3</f>
        <v>0.99716666666666676</v>
      </c>
      <c r="X11" s="199"/>
    </row>
    <row r="12" spans="1:24" ht="26.25" thickBot="1" x14ac:dyDescent="0.25">
      <c r="A12" s="79" t="s">
        <v>89</v>
      </c>
      <c r="B12" s="37"/>
      <c r="C12" s="91" t="s">
        <v>126</v>
      </c>
      <c r="D12" s="170"/>
      <c r="E12" s="39" t="s">
        <v>61</v>
      </c>
      <c r="F12" s="40">
        <v>0.99</v>
      </c>
      <c r="G12" s="97">
        <f>(0.9993+0.999+1)/3</f>
        <v>0.99943333333333328</v>
      </c>
      <c r="H12" s="97">
        <f>(0.9979+0.9993+0.991)/3</f>
        <v>0.99606666666666666</v>
      </c>
      <c r="I12" s="97">
        <f>(0.9976+0.9979+0.9971)/3</f>
        <v>0.99753333333333327</v>
      </c>
      <c r="J12" s="97">
        <f>(1+0.9776)/2</f>
        <v>0.98880000000000001</v>
      </c>
      <c r="K12" s="97">
        <f>(1+0.9997+0.978)/3</f>
        <v>0.99256666666666671</v>
      </c>
      <c r="L12" s="97">
        <f>(1+0.995+1)/3</f>
        <v>0.99833333333333341</v>
      </c>
      <c r="M12" s="106">
        <f>(0.999+0.93+0.996)/3</f>
        <v>0.97499999999999998</v>
      </c>
      <c r="N12" s="97">
        <f>(0.9976+0.999+0.99)/3</f>
        <v>0.99553333333333338</v>
      </c>
      <c r="O12" s="97">
        <f>(0.99+0.998+1)/3</f>
        <v>0.996</v>
      </c>
      <c r="P12" s="97">
        <f>(1+1)/2</f>
        <v>1</v>
      </c>
      <c r="Q12" s="97">
        <f>(0.995+0.977+0.999)/3</f>
        <v>0.9903333333333334</v>
      </c>
      <c r="R12" s="97">
        <f>(1+0.996)/2</f>
        <v>0.998</v>
      </c>
      <c r="S12" s="106">
        <f>(0.98+0.946+1)/3</f>
        <v>0.97533333333333339</v>
      </c>
      <c r="T12" s="97">
        <f>(0.9997+1)/2</f>
        <v>0.99985000000000002</v>
      </c>
      <c r="U12" s="205">
        <v>1</v>
      </c>
      <c r="V12" s="214"/>
      <c r="W12" s="214"/>
      <c r="X12" s="201" t="s">
        <v>238</v>
      </c>
    </row>
    <row r="13" spans="1:24" ht="25.5" x14ac:dyDescent="0.2">
      <c r="A13" s="79" t="s">
        <v>90</v>
      </c>
      <c r="B13" s="37"/>
      <c r="C13" s="91" t="s">
        <v>127</v>
      </c>
      <c r="D13" s="170"/>
      <c r="E13" s="39" t="s">
        <v>61</v>
      </c>
      <c r="F13" s="40">
        <v>0.99</v>
      </c>
      <c r="G13" s="97">
        <f t="shared" ref="G13:G19" si="0">(1+1+1)/3</f>
        <v>1</v>
      </c>
      <c r="H13" s="97">
        <f>(1+1+0.9992)/3</f>
        <v>0.99973333333333336</v>
      </c>
      <c r="I13" s="97">
        <f>(0.998+1+0.9874)/3</f>
        <v>0.99513333333333343</v>
      </c>
      <c r="J13" s="97">
        <f>(0.9927+1)/2</f>
        <v>0.99635000000000007</v>
      </c>
      <c r="K13" s="97">
        <f>(1+1+0.994)/3</f>
        <v>0.99799999999999989</v>
      </c>
      <c r="L13" s="97">
        <f>(0.99967+1+1)/3</f>
        <v>0.99989000000000006</v>
      </c>
      <c r="M13" s="97">
        <f>(0.99967+1+1)/3</f>
        <v>0.99989000000000006</v>
      </c>
      <c r="N13" s="97">
        <f>(1+1+0.991)/3</f>
        <v>0.997</v>
      </c>
      <c r="O13" s="97">
        <f>(1+1+0.991)/3</f>
        <v>0.997</v>
      </c>
      <c r="P13" s="97">
        <f>(1+1)/2</f>
        <v>1</v>
      </c>
      <c r="Q13" s="97">
        <f>(1+1+1)/3</f>
        <v>1</v>
      </c>
      <c r="R13" s="97">
        <f>(0.999+0.9995)/2</f>
        <v>0.99924999999999997</v>
      </c>
      <c r="S13" s="97">
        <f>(0.97+1+1)/3</f>
        <v>0.98999999999999988</v>
      </c>
      <c r="T13" s="97">
        <f>(0.999+1+1)/3</f>
        <v>0.9996666666666667</v>
      </c>
      <c r="U13" s="97">
        <f>(1+1+0.99)/3</f>
        <v>0.9966666666666667</v>
      </c>
      <c r="V13" s="97">
        <f>(1+1+1)/3</f>
        <v>1</v>
      </c>
      <c r="W13" s="97">
        <f>(0.99+1+0.997)/3</f>
        <v>0.9956666666666667</v>
      </c>
      <c r="X13" s="200"/>
    </row>
    <row r="14" spans="1:24" ht="25.5" x14ac:dyDescent="0.2">
      <c r="A14" s="79" t="s">
        <v>91</v>
      </c>
      <c r="B14" s="37"/>
      <c r="C14" s="91" t="s">
        <v>128</v>
      </c>
      <c r="D14" s="170"/>
      <c r="E14" s="39" t="s">
        <v>61</v>
      </c>
      <c r="F14" s="40">
        <v>0.99</v>
      </c>
      <c r="G14" s="97">
        <f t="shared" si="0"/>
        <v>1</v>
      </c>
      <c r="H14" s="97">
        <f>(0.9987+1+0.9917)/3</f>
        <v>0.99680000000000002</v>
      </c>
      <c r="I14" s="97">
        <f>(1+1+0.9992)/3</f>
        <v>0.99973333333333336</v>
      </c>
      <c r="J14" s="97">
        <f>(0.9899+1)/2</f>
        <v>0.99495</v>
      </c>
      <c r="K14" s="97">
        <f>(1+0.999+0.992)/3</f>
        <v>0.997</v>
      </c>
      <c r="L14" s="97">
        <f>(1+1+1)/3</f>
        <v>1</v>
      </c>
      <c r="M14" s="97">
        <f>(1+0.9635+0.9938)/3</f>
        <v>0.98576666666666668</v>
      </c>
      <c r="N14" s="97">
        <f>(1+1+0.991)/3</f>
        <v>0.997</v>
      </c>
      <c r="O14" s="97">
        <f>(0.9892+1+0+1)/3</f>
        <v>0.99639999999999995</v>
      </c>
      <c r="P14" s="97">
        <f>(1 + 0.9947 + 0.9974)/3</f>
        <v>0.99736666666666662</v>
      </c>
      <c r="Q14" s="97">
        <f>(0.998 + 1 + 1)/3</f>
        <v>0.99933333333333341</v>
      </c>
      <c r="R14" s="97">
        <f>(1 + 1 + 1)/3</f>
        <v>1</v>
      </c>
      <c r="S14" s="97">
        <f>(0.986+ 1+ 1)/3</f>
        <v>0.99533333333333329</v>
      </c>
      <c r="T14" s="97">
        <f>(0.9999+ 1+ 1)/3</f>
        <v>0.99996666666666678</v>
      </c>
      <c r="U14" s="97">
        <f>(1+ 1+0.9938)/3</f>
        <v>0.99793333333333345</v>
      </c>
      <c r="V14" s="97">
        <f>(0.9993+ 1+1)/3</f>
        <v>0.99976666666666658</v>
      </c>
      <c r="W14" s="97">
        <f>(0.9979+ 1+0.9979)/3</f>
        <v>0.99860000000000004</v>
      </c>
      <c r="X14" s="200"/>
    </row>
    <row r="15" spans="1:24" ht="48.75" customHeight="1" x14ac:dyDescent="0.2">
      <c r="A15" s="79" t="s">
        <v>92</v>
      </c>
      <c r="B15" s="37"/>
      <c r="C15" s="91" t="s">
        <v>129</v>
      </c>
      <c r="D15" s="170"/>
      <c r="E15" s="39" t="s">
        <v>55</v>
      </c>
      <c r="F15" s="40">
        <v>0.99</v>
      </c>
      <c r="G15" s="97">
        <f t="shared" si="0"/>
        <v>1</v>
      </c>
      <c r="H15" s="97">
        <f>(1+1+1)/3</f>
        <v>1</v>
      </c>
      <c r="I15" s="97">
        <f>(0.9982+1+0.9904)/3</f>
        <v>0.99619999999999997</v>
      </c>
      <c r="J15" s="97">
        <f>(0.9833+0.9899)/2</f>
        <v>0.98659999999999992</v>
      </c>
      <c r="K15" s="161">
        <f>(1+0.999+0.8278)/3</f>
        <v>0.9422666666666667</v>
      </c>
      <c r="L15" s="97">
        <f>(1+1+1)/3</f>
        <v>1</v>
      </c>
      <c r="M15" s="105">
        <f>(0.835+0.9002+0.9967)/3</f>
        <v>0.91063333333333329</v>
      </c>
      <c r="N15" s="97">
        <f>(1+0.9992+0.988)/3</f>
        <v>0.99573333333333336</v>
      </c>
      <c r="O15" s="97">
        <f>(0.988+1+1)/3</f>
        <v>0.996</v>
      </c>
      <c r="P15" s="97">
        <f>(1 +0.9996 +1)/3</f>
        <v>0.99986666666666668</v>
      </c>
      <c r="Q15" s="105">
        <f>(0.9979 +0.8517 +0.9991)/3</f>
        <v>0.94956666666666667</v>
      </c>
      <c r="R15" s="97">
        <f>(0.9929 +0.9985 +1)/3</f>
        <v>0.99713333333333332</v>
      </c>
      <c r="S15" s="97">
        <f>(0.9816 +0.9963 +1)/3</f>
        <v>0.99263333333333337</v>
      </c>
      <c r="T15" s="97">
        <f>(0.9996 +1 +1)/3</f>
        <v>0.99986666666666668</v>
      </c>
      <c r="U15" s="97">
        <f>(0.996 +0.996 +0.9913)/3</f>
        <v>0.99443333333333328</v>
      </c>
      <c r="V15" s="97">
        <f>(1 +1 +1)/3</f>
        <v>1</v>
      </c>
      <c r="W15" s="97">
        <f>(0.9981 +1 +0.9979)/3</f>
        <v>0.9986666666666667</v>
      </c>
      <c r="X15" s="201"/>
    </row>
    <row r="16" spans="1:24" ht="25.5" x14ac:dyDescent="0.2">
      <c r="A16" s="79" t="s">
        <v>93</v>
      </c>
      <c r="B16" s="37"/>
      <c r="C16" s="91" t="s">
        <v>130</v>
      </c>
      <c r="D16" s="170"/>
      <c r="E16" s="39" t="s">
        <v>56</v>
      </c>
      <c r="F16" s="40">
        <v>0.98</v>
      </c>
      <c r="G16" s="97">
        <f t="shared" si="0"/>
        <v>1</v>
      </c>
      <c r="H16" s="97">
        <f>(1+1+0.9906)/3</f>
        <v>0.99686666666666668</v>
      </c>
      <c r="I16" s="97">
        <f>(1+0.9986+0.997)/3</f>
        <v>0.99853333333333338</v>
      </c>
      <c r="J16" s="97">
        <f>(0.9964+0.999)/2</f>
        <v>0.99770000000000003</v>
      </c>
      <c r="K16" s="97">
        <f>(1+0.999+0.9955)/3</f>
        <v>0.99816666666666676</v>
      </c>
      <c r="L16" s="97">
        <f>(1+1+1)/3</f>
        <v>1</v>
      </c>
      <c r="M16" s="97">
        <f>(1+0.9621+0.9973)/3</f>
        <v>0.98646666666666671</v>
      </c>
      <c r="N16" s="97">
        <f>(1+0.9996+0.9918)/3</f>
        <v>0.99713333333333332</v>
      </c>
      <c r="O16" s="97">
        <f>(0.9918+1+1)/3</f>
        <v>0.99726666666666663</v>
      </c>
      <c r="P16" s="97">
        <f>(1+ 0.9996+1)/3</f>
        <v>0.99986666666666668</v>
      </c>
      <c r="Q16" s="97">
        <f>(0.9993+ 0.9675+0.9996)/3</f>
        <v>0.98880000000000001</v>
      </c>
      <c r="R16" s="97">
        <f>(1+1+1)/3</f>
        <v>1</v>
      </c>
      <c r="S16" s="97">
        <f>(0.9861+0.998+0.9861)/3</f>
        <v>0.99006666666666676</v>
      </c>
      <c r="T16" s="97">
        <f>(0.9996+1+1)/3</f>
        <v>0.99986666666666668</v>
      </c>
      <c r="U16" s="97">
        <f>(1+1+0.9943)/3</f>
        <v>0.99809999999999999</v>
      </c>
      <c r="V16" s="97">
        <f>(1+1+1)/3</f>
        <v>1</v>
      </c>
      <c r="W16" s="97">
        <f>(0.9989+1+0.9979)/3</f>
        <v>0.99893333333333334</v>
      </c>
      <c r="X16" s="200"/>
    </row>
    <row r="17" spans="1:24" ht="26.25" thickBot="1" x14ac:dyDescent="0.25">
      <c r="A17" s="79" t="s">
        <v>94</v>
      </c>
      <c r="B17" s="37"/>
      <c r="C17" s="91" t="s">
        <v>131</v>
      </c>
      <c r="D17" s="170"/>
      <c r="E17" s="39" t="s">
        <v>56</v>
      </c>
      <c r="F17" s="40">
        <v>0.98</v>
      </c>
      <c r="G17" s="97">
        <f t="shared" si="0"/>
        <v>1</v>
      </c>
      <c r="H17" s="97">
        <f>(1+1+0.991)/3</f>
        <v>0.997</v>
      </c>
      <c r="I17" s="97">
        <f>(1+0.9986+0.997)/3</f>
        <v>0.99853333333333338</v>
      </c>
      <c r="J17" s="97">
        <f>(0.9964+0.999)/2</f>
        <v>0.99770000000000003</v>
      </c>
      <c r="K17" s="97">
        <f>(0.999+0.999+0.9955)/3</f>
        <v>0.99783333333333335</v>
      </c>
      <c r="L17" s="97">
        <f>(1+1+1)/3</f>
        <v>1</v>
      </c>
      <c r="M17" s="106">
        <f>(0.9959+0.9343+0.9969)/3</f>
        <v>0.97570000000000012</v>
      </c>
      <c r="N17" s="97">
        <f>(1+0.9993+0.9922)/3</f>
        <v>0.99716666666666665</v>
      </c>
      <c r="O17" s="97">
        <f>(0.9992+1+1)/3</f>
        <v>0.99973333333333336</v>
      </c>
      <c r="P17" s="97">
        <f>(1+1)/2</f>
        <v>1</v>
      </c>
      <c r="Q17" s="97">
        <f>(0.999 + 0.9673 + 0.9996)/3</f>
        <v>0.98863333333333336</v>
      </c>
      <c r="R17" s="97">
        <f>(1 + 1 + 0.9996)/3</f>
        <v>0.99986666666666668</v>
      </c>
      <c r="S17" s="97">
        <f>(0.9861 + 0.997 + 1)/3</f>
        <v>0.99436666666666662</v>
      </c>
      <c r="T17" s="97">
        <f>(0.9996 + 1 + 1)/3</f>
        <v>0.99986666666666668</v>
      </c>
      <c r="U17" s="97">
        <f>(1 + 1 + 0.9943)/3</f>
        <v>0.99809999999999999</v>
      </c>
      <c r="V17" s="97">
        <f>(1 + 1 + 0.9943)/3</f>
        <v>0.99809999999999999</v>
      </c>
      <c r="W17" s="97">
        <f>(0.9948 + 1 + 0.9979)/3</f>
        <v>0.99756666666666671</v>
      </c>
      <c r="X17" s="200"/>
    </row>
    <row r="18" spans="1:24" ht="26.25" thickBot="1" x14ac:dyDescent="0.25">
      <c r="A18" s="79" t="s">
        <v>95</v>
      </c>
      <c r="B18" s="37"/>
      <c r="C18" s="91" t="s">
        <v>132</v>
      </c>
      <c r="D18" s="170"/>
      <c r="E18" s="39" t="s">
        <v>56</v>
      </c>
      <c r="F18" s="40">
        <v>0.99</v>
      </c>
      <c r="G18" s="97">
        <f t="shared" si="0"/>
        <v>1</v>
      </c>
      <c r="H18" s="97">
        <f>(1+1+0.991)/3</f>
        <v>0.997</v>
      </c>
      <c r="I18" s="97">
        <f>(1+0.9986+0.997)/3</f>
        <v>0.99853333333333338</v>
      </c>
      <c r="J18" s="97">
        <f>(0.9964+0.999)/2</f>
        <v>0.99770000000000003</v>
      </c>
      <c r="K18" s="97">
        <f>(1+0.999+0.996)/3</f>
        <v>0.99833333333333341</v>
      </c>
      <c r="L18" s="97">
        <f>(1+1+1)/3</f>
        <v>1</v>
      </c>
      <c r="M18" s="175"/>
      <c r="N18" s="177"/>
      <c r="O18" s="177"/>
      <c r="P18" s="177"/>
      <c r="Q18" s="177"/>
      <c r="R18" s="177"/>
      <c r="S18" s="177"/>
      <c r="T18" s="177"/>
      <c r="U18" s="206"/>
      <c r="V18" s="215"/>
      <c r="W18" s="215"/>
      <c r="X18" s="202"/>
    </row>
    <row r="19" spans="1:24" ht="51.75" thickBot="1" x14ac:dyDescent="0.25">
      <c r="A19" s="79" t="s">
        <v>96</v>
      </c>
      <c r="B19" s="37"/>
      <c r="C19" s="91" t="s">
        <v>133</v>
      </c>
      <c r="D19" s="170"/>
      <c r="E19" s="39" t="s">
        <v>56</v>
      </c>
      <c r="F19" s="40">
        <v>0.99</v>
      </c>
      <c r="G19" s="97">
        <f t="shared" si="0"/>
        <v>1</v>
      </c>
      <c r="H19" s="97">
        <f>(0.9861+1+1)/3</f>
        <v>0.99536666666666662</v>
      </c>
      <c r="I19" s="97">
        <f>(0.9987+0.9983+0.991)/3</f>
        <v>0.996</v>
      </c>
      <c r="J19" s="105">
        <f>(0.9434+0.9856)/2</f>
        <v>0.96450000000000002</v>
      </c>
      <c r="K19" s="97">
        <f>(0.9936+0.995+0.985)/3</f>
        <v>0.99119999999999997</v>
      </c>
      <c r="L19" s="97">
        <f>(1+0.9988+0.9979)/3</f>
        <v>0.99890000000000001</v>
      </c>
      <c r="M19" s="105">
        <f>(0.874+0.8731+0.99)/3</f>
        <v>0.91236666666666666</v>
      </c>
      <c r="N19" s="97">
        <f>(0.9985+0.9992+0.9769)/3</f>
        <v>0.99153333333333338</v>
      </c>
      <c r="O19" s="97">
        <f>(0.9769+0.9938+1)/3</f>
        <v>0.9902333333333333</v>
      </c>
      <c r="P19" s="97">
        <f>(0.9867+0.9965+0.9988)/3</f>
        <v>0.99400000000000011</v>
      </c>
      <c r="Q19" s="106">
        <f>(0.9961+0.9373+0.9972)/3</f>
        <v>0.97686666666666666</v>
      </c>
      <c r="R19" s="97">
        <f>(0.9972 + 1 + 0.9989)/3</f>
        <v>0.99869999999999992</v>
      </c>
      <c r="S19" s="106">
        <f>(0.9861 + 1 + 0.8779)/3</f>
        <v>0.95466666666666666</v>
      </c>
      <c r="T19" s="97">
        <f>(0.9928 + 0.9893 + 0.9955)/3</f>
        <v>0.99253333333333327</v>
      </c>
      <c r="U19" s="97">
        <f>(0.9936 + 1 + 0.9615)/3</f>
        <v>0.98503333333333332</v>
      </c>
      <c r="V19" s="217">
        <f>(1 + 0.9985 + 1)/3</f>
        <v>0.99949999999999994</v>
      </c>
      <c r="W19" s="217">
        <f>(0.9938 + 1 + 0.8868)/3</f>
        <v>0.96020000000000005</v>
      </c>
      <c r="X19" s="201" t="s">
        <v>248</v>
      </c>
    </row>
    <row r="20" spans="1:24" ht="26.25" thickBot="1" x14ac:dyDescent="0.25">
      <c r="A20" s="79" t="s">
        <v>97</v>
      </c>
      <c r="B20" s="37"/>
      <c r="C20" s="91" t="s">
        <v>134</v>
      </c>
      <c r="D20" s="170"/>
      <c r="E20" s="39" t="s">
        <v>56</v>
      </c>
      <c r="F20" s="103">
        <v>2</v>
      </c>
      <c r="G20" s="104">
        <v>0</v>
      </c>
      <c r="H20" s="104">
        <v>0</v>
      </c>
      <c r="I20" s="104">
        <v>0</v>
      </c>
      <c r="J20" s="104">
        <v>0</v>
      </c>
      <c r="K20" s="104">
        <v>0</v>
      </c>
      <c r="L20" s="104">
        <v>0</v>
      </c>
      <c r="M20" s="104">
        <v>0</v>
      </c>
      <c r="N20" s="104">
        <v>0</v>
      </c>
      <c r="O20" s="180">
        <v>0</v>
      </c>
      <c r="P20" s="180">
        <v>0</v>
      </c>
      <c r="Q20" s="186">
        <v>1</v>
      </c>
      <c r="R20" s="181">
        <v>0</v>
      </c>
      <c r="S20" s="181">
        <v>0</v>
      </c>
      <c r="T20" s="181">
        <v>0</v>
      </c>
      <c r="U20" s="207">
        <v>0</v>
      </c>
      <c r="V20" s="207">
        <v>0</v>
      </c>
      <c r="W20" s="207">
        <v>0</v>
      </c>
      <c r="X20" s="201"/>
    </row>
    <row r="21" spans="1:24" ht="51.75" thickBot="1" x14ac:dyDescent="0.25">
      <c r="A21" s="79" t="s">
        <v>98</v>
      </c>
      <c r="B21" s="37"/>
      <c r="C21" s="91" t="s">
        <v>135</v>
      </c>
      <c r="D21" s="170"/>
      <c r="E21" s="38"/>
      <c r="F21" s="103">
        <v>0</v>
      </c>
      <c r="G21" s="104">
        <v>0</v>
      </c>
      <c r="H21" s="104">
        <v>0</v>
      </c>
      <c r="I21" s="104">
        <v>0</v>
      </c>
      <c r="J21" s="159">
        <v>0</v>
      </c>
      <c r="K21" s="159">
        <v>0</v>
      </c>
      <c r="L21" s="159">
        <v>0</v>
      </c>
      <c r="M21" s="159">
        <v>0</v>
      </c>
      <c r="N21" s="159">
        <v>0</v>
      </c>
      <c r="O21" s="181">
        <v>0</v>
      </c>
      <c r="P21" s="181">
        <v>0</v>
      </c>
      <c r="Q21" s="181">
        <v>0</v>
      </c>
      <c r="R21" s="181">
        <v>0</v>
      </c>
      <c r="S21" s="181">
        <v>0</v>
      </c>
      <c r="T21" s="181">
        <v>0</v>
      </c>
      <c r="U21" s="207">
        <v>0</v>
      </c>
      <c r="V21" s="207">
        <v>0</v>
      </c>
      <c r="W21" s="207">
        <v>0</v>
      </c>
      <c r="X21" s="203"/>
    </row>
    <row r="22" spans="1:24" ht="39.950000000000003" customHeight="1" thickBot="1" x14ac:dyDescent="0.25">
      <c r="A22" s="79" t="s">
        <v>99</v>
      </c>
      <c r="B22" s="44"/>
      <c r="C22" s="91" t="s">
        <v>136</v>
      </c>
      <c r="D22" s="171"/>
      <c r="E22" s="45" t="s">
        <v>54</v>
      </c>
      <c r="F22" s="103">
        <v>0</v>
      </c>
      <c r="G22" s="104">
        <v>0</v>
      </c>
      <c r="H22" s="104">
        <v>0</v>
      </c>
      <c r="I22" s="104">
        <v>0</v>
      </c>
      <c r="J22" s="100">
        <v>0</v>
      </c>
      <c r="K22" s="100">
        <v>0</v>
      </c>
      <c r="L22" s="100">
        <v>0</v>
      </c>
      <c r="M22" s="100">
        <v>0</v>
      </c>
      <c r="N22" s="100">
        <v>0</v>
      </c>
      <c r="O22" s="182">
        <v>0</v>
      </c>
      <c r="P22" s="182">
        <v>0</v>
      </c>
      <c r="Q22" s="182">
        <v>0</v>
      </c>
      <c r="R22" s="182">
        <v>0</v>
      </c>
      <c r="S22" s="182">
        <v>0</v>
      </c>
      <c r="T22" s="182">
        <v>0</v>
      </c>
      <c r="U22" s="208">
        <v>0</v>
      </c>
      <c r="V22" s="208">
        <v>0</v>
      </c>
      <c r="W22" s="208">
        <v>0</v>
      </c>
      <c r="X22" s="200"/>
    </row>
    <row r="23" spans="1:24" ht="39" thickBot="1" x14ac:dyDescent="0.25">
      <c r="A23" s="79" t="s">
        <v>100</v>
      </c>
      <c r="B23" s="42"/>
      <c r="C23" s="91" t="s">
        <v>137</v>
      </c>
      <c r="D23" s="74"/>
      <c r="E23" s="39" t="s">
        <v>2</v>
      </c>
      <c r="F23" s="40">
        <v>0.93</v>
      </c>
      <c r="G23" s="105">
        <f>(16.53+15.78+14.8)/(3*19.5)</f>
        <v>0.80529914529914526</v>
      </c>
      <c r="H23" s="105">
        <f>(0.77+0.77+0.72)/3</f>
        <v>0.7533333333333333</v>
      </c>
      <c r="I23" s="105">
        <f>(0.705+0.692+0.721)/3</f>
        <v>0.70599999999999996</v>
      </c>
      <c r="J23" s="105">
        <f>(0.727+0.826+0.854)/3</f>
        <v>0.80233333333333334</v>
      </c>
      <c r="K23" s="106">
        <f>(0.88+0.88+0.88)/3</f>
        <v>0.88</v>
      </c>
      <c r="L23" s="106">
        <f>(16.55+17.15+17.15)/(19.5*3)</f>
        <v>0.86923076923076925</v>
      </c>
      <c r="M23" s="106">
        <f>(17.05+17.05+17.05)/(19.5*3)</f>
        <v>0.87435897435897447</v>
      </c>
      <c r="N23" s="105">
        <f>(16.6+16.3+16.5)/(19.5*3)</f>
        <v>0.84444444444444455</v>
      </c>
      <c r="O23" s="105">
        <f>(15.9+16.3+16.3)/(19.5*3)</f>
        <v>0.82905982905982911</v>
      </c>
      <c r="P23" s="184">
        <v>0.84</v>
      </c>
      <c r="Q23" s="185">
        <v>0.92</v>
      </c>
      <c r="R23" s="188">
        <v>0.97</v>
      </c>
      <c r="S23" s="188">
        <v>0.98</v>
      </c>
      <c r="T23" s="184">
        <v>0.83</v>
      </c>
      <c r="U23" s="209">
        <v>0.81</v>
      </c>
      <c r="V23" s="216">
        <v>0.89</v>
      </c>
      <c r="W23" s="214">
        <f>18.3/18.5</f>
        <v>0.98918918918918919</v>
      </c>
      <c r="X23" s="204" t="s">
        <v>249</v>
      </c>
    </row>
    <row r="24" spans="1:24" s="30" customFormat="1" x14ac:dyDescent="0.2">
      <c r="A24" s="80"/>
      <c r="B24" s="81"/>
      <c r="C24" s="34"/>
      <c r="D24" s="82"/>
      <c r="E24" s="39"/>
      <c r="F24" s="40"/>
      <c r="G24" s="83"/>
      <c r="H24" s="83"/>
      <c r="I24" s="83"/>
      <c r="J24" s="84"/>
      <c r="K24" s="84"/>
      <c r="L24" s="84"/>
      <c r="M24" s="84"/>
      <c r="N24" s="40"/>
      <c r="O24" s="40"/>
      <c r="P24" s="40"/>
      <c r="Q24" s="40"/>
      <c r="R24" s="40"/>
      <c r="S24" s="40"/>
      <c r="T24" s="40"/>
      <c r="U24" s="46"/>
      <c r="V24" s="46"/>
      <c r="W24" s="46"/>
      <c r="X24" s="35"/>
    </row>
    <row r="25" spans="1:24" ht="25.5" x14ac:dyDescent="0.2">
      <c r="A25" s="79" t="s">
        <v>101</v>
      </c>
      <c r="B25" s="42"/>
      <c r="C25" s="93" t="s">
        <v>138</v>
      </c>
      <c r="D25" s="172"/>
      <c r="E25" s="38"/>
      <c r="F25" s="40">
        <v>1</v>
      </c>
      <c r="G25" s="97">
        <f>(1.22+1.22+1.22)/3</f>
        <v>1.22</v>
      </c>
      <c r="H25" s="97">
        <f>(1.5+1.49+1.49)/3</f>
        <v>1.4933333333333334</v>
      </c>
      <c r="I25" s="97">
        <f>(1.46+1.46+1.46)/3</f>
        <v>1.46</v>
      </c>
      <c r="J25" s="98">
        <v>1.36</v>
      </c>
      <c r="K25" s="162">
        <f>(1.2+1.2+1.24)/3</f>
        <v>1.2133333333333332</v>
      </c>
      <c r="L25" s="162">
        <f>(1.14+1.14+1.14)/3</f>
        <v>1.1399999999999999</v>
      </c>
      <c r="M25" s="162">
        <f>1.19</f>
        <v>1.19</v>
      </c>
      <c r="N25" s="162">
        <f>(1.14+1.14+1.16)/3</f>
        <v>1.1466666666666665</v>
      </c>
      <c r="O25" s="162">
        <f>(1.28+1.28+1.28)/3</f>
        <v>1.28</v>
      </c>
      <c r="P25" s="162">
        <f>(1.24+1.3)/2</f>
        <v>1.27</v>
      </c>
      <c r="Q25" s="162">
        <f>(1.3+1.3+1.3)/3</f>
        <v>1.3</v>
      </c>
      <c r="R25" s="162">
        <f>(1.33+1.33+1.33)/3</f>
        <v>1.33</v>
      </c>
      <c r="S25" s="162">
        <f>(1.35+1.34+1.35)/3</f>
        <v>1.3466666666666669</v>
      </c>
      <c r="T25" s="162">
        <f>(1.35+1.35+1.35)/3</f>
        <v>1.3500000000000003</v>
      </c>
      <c r="U25" s="162">
        <f>(1.36+1.36+1.36)/3</f>
        <v>1.36</v>
      </c>
      <c r="V25" s="162">
        <f>(1.33+1.34+1.33)/3</f>
        <v>1.3333333333333333</v>
      </c>
      <c r="W25" s="162">
        <f>(1.58+1.59+1.72)/3</f>
        <v>1.63</v>
      </c>
      <c r="X25" s="35"/>
    </row>
    <row r="26" spans="1:24" ht="25.5" x14ac:dyDescent="0.2">
      <c r="A26" s="79" t="s">
        <v>102</v>
      </c>
      <c r="B26" s="42"/>
      <c r="C26" s="94" t="s">
        <v>139</v>
      </c>
      <c r="D26" s="173"/>
      <c r="E26" s="39" t="s">
        <v>54</v>
      </c>
      <c r="F26" s="40">
        <v>1</v>
      </c>
      <c r="G26" s="106">
        <f>(0.57+0.57+0.57)/3</f>
        <v>0.56999999999999995</v>
      </c>
      <c r="H26" s="106">
        <f>(0.58+0.58+0.59)/3</f>
        <v>0.58333333333333337</v>
      </c>
      <c r="I26" s="97">
        <f>(0.76+0.886+0.886)/3</f>
        <v>0.84399999999999997</v>
      </c>
      <c r="J26" s="98">
        <v>1.02</v>
      </c>
      <c r="K26" s="98">
        <f t="shared" ref="K26:W26" si="1">(1+1+1)/3</f>
        <v>1</v>
      </c>
      <c r="L26" s="98">
        <f t="shared" si="1"/>
        <v>1</v>
      </c>
      <c r="M26" s="98">
        <f t="shared" si="1"/>
        <v>1</v>
      </c>
      <c r="N26" s="98">
        <f t="shared" si="1"/>
        <v>1</v>
      </c>
      <c r="O26" s="98">
        <f t="shared" si="1"/>
        <v>1</v>
      </c>
      <c r="P26" s="98">
        <f t="shared" si="1"/>
        <v>1</v>
      </c>
      <c r="Q26" s="98">
        <f t="shared" si="1"/>
        <v>1</v>
      </c>
      <c r="R26" s="98">
        <f t="shared" si="1"/>
        <v>1</v>
      </c>
      <c r="S26" s="98">
        <f t="shared" si="1"/>
        <v>1</v>
      </c>
      <c r="T26" s="98">
        <f t="shared" si="1"/>
        <v>1</v>
      </c>
      <c r="U26" s="98">
        <f t="shared" si="1"/>
        <v>1</v>
      </c>
      <c r="V26" s="98">
        <f t="shared" si="1"/>
        <v>1</v>
      </c>
      <c r="W26" s="98">
        <f t="shared" si="1"/>
        <v>1</v>
      </c>
      <c r="X26" s="114"/>
    </row>
    <row r="27" spans="1:24" ht="25.5" x14ac:dyDescent="0.2">
      <c r="A27" s="79" t="s">
        <v>103</v>
      </c>
      <c r="B27" s="42"/>
      <c r="C27" s="94" t="s">
        <v>165</v>
      </c>
      <c r="D27" s="173"/>
      <c r="E27" s="39" t="s">
        <v>62</v>
      </c>
      <c r="F27" s="40">
        <v>1</v>
      </c>
      <c r="G27" s="106">
        <f>(0.57+0.57+0.57)/3</f>
        <v>0.56999999999999995</v>
      </c>
      <c r="H27" s="106">
        <f>(0.55+0.569+0.57)/3</f>
        <v>0.56300000000000006</v>
      </c>
      <c r="I27" s="97">
        <f>(0.742+0.84+0.838)/3</f>
        <v>0.80666666666666664</v>
      </c>
      <c r="J27" s="97">
        <f>(1.1+1.1+1.14)/3</f>
        <v>1.1133333333333333</v>
      </c>
      <c r="K27" s="97">
        <f>(1.01+1.06+1.03)/3</f>
        <v>1.0333333333333334</v>
      </c>
      <c r="L27" s="97">
        <f>(1.027+1.026+1.05)/3</f>
        <v>1.0343333333333333</v>
      </c>
      <c r="M27" s="97">
        <f>(1.05+1.06+1.06)/3</f>
        <v>1.0566666666666669</v>
      </c>
      <c r="N27" s="97">
        <f>(1.07+1.04+1.1)/3</f>
        <v>1.07</v>
      </c>
      <c r="O27" s="98">
        <f>(1+1+1)/3</f>
        <v>1</v>
      </c>
      <c r="P27" s="98">
        <f>(1.08+1.08)/2</f>
        <v>1.08</v>
      </c>
      <c r="Q27" s="98">
        <f>(1.07+1.06+1.06)/3</f>
        <v>1.0633333333333332</v>
      </c>
      <c r="R27" s="98">
        <f>(1.06+1.05+1.18)/3</f>
        <v>1.0966666666666667</v>
      </c>
      <c r="S27" s="98">
        <f>(1.11+1.07+1.07)/3</f>
        <v>1.0833333333333333</v>
      </c>
      <c r="T27" s="98">
        <f>(1.07+1.07+1.08)/3</f>
        <v>1.0733333333333335</v>
      </c>
      <c r="U27" s="98">
        <f>(1.08+1+1)/3</f>
        <v>1.0266666666666666</v>
      </c>
      <c r="V27" s="98">
        <f>(1+1.06+1.06)/3</f>
        <v>1.04</v>
      </c>
      <c r="W27" s="98">
        <f>(1+1+1)/3</f>
        <v>1</v>
      </c>
      <c r="X27" s="114"/>
    </row>
    <row r="28" spans="1:24" ht="25.5" x14ac:dyDescent="0.2">
      <c r="A28" s="79" t="s">
        <v>104</v>
      </c>
      <c r="B28" s="42"/>
      <c r="C28" s="94" t="s">
        <v>167</v>
      </c>
      <c r="D28" s="173"/>
      <c r="E28" s="39" t="s">
        <v>54</v>
      </c>
      <c r="F28" s="40">
        <v>1</v>
      </c>
      <c r="G28" s="97">
        <f>(1.092+1.068+1.05)/3</f>
        <v>1.07</v>
      </c>
      <c r="H28" s="97">
        <f>(1.0758+1.281+1.23)/3</f>
        <v>1.1956</v>
      </c>
      <c r="I28" s="97">
        <f>(1.164+1.18 +1.209)/3</f>
        <v>1.1843333333333332</v>
      </c>
      <c r="J28" s="97">
        <f>(1.2+1.26 +1.29)/3</f>
        <v>1.25</v>
      </c>
      <c r="K28" s="97">
        <f>(1.16+1.26 +1.29)/3</f>
        <v>1.2366666666666666</v>
      </c>
      <c r="L28" s="97">
        <f>(1.159+1.156 +1.16)/3</f>
        <v>1.1583333333333332</v>
      </c>
      <c r="M28" s="97">
        <f>(1.156+1.12 +1.12)/3</f>
        <v>1.1319999999999999</v>
      </c>
      <c r="N28" s="97">
        <f>(1.17+1.24 +1.29)/3</f>
        <v>1.2333333333333334</v>
      </c>
      <c r="O28" s="97">
        <f>(1.45+1.42 +1.41)/3</f>
        <v>1.4266666666666667</v>
      </c>
      <c r="P28" s="97">
        <f>(1.34+1.18)/2</f>
        <v>1.26</v>
      </c>
      <c r="Q28" s="97">
        <f>(1.18+1.11+1.11)/3</f>
        <v>1.1333333333333335</v>
      </c>
      <c r="R28" s="97">
        <f>(1.22+1.17+1.18)/3</f>
        <v>1.1899999999999997</v>
      </c>
      <c r="S28" s="97">
        <f>(1.16+1.18+1.02)/3</f>
        <v>1.1199999999999999</v>
      </c>
      <c r="T28" s="97">
        <f>(1.14+1.23+1.19)/3</f>
        <v>1.1866666666666668</v>
      </c>
      <c r="U28" s="97">
        <f>(1.22+1.15+1.11)/3</f>
        <v>1.1600000000000001</v>
      </c>
      <c r="V28" s="97">
        <f>(1.09+1.05+1.06)/3</f>
        <v>1.0666666666666667</v>
      </c>
      <c r="W28" s="97">
        <f>(0.96+1+1.12)/3</f>
        <v>1.0266666666666666</v>
      </c>
      <c r="X28" s="35"/>
    </row>
    <row r="29" spans="1:24" ht="38.25" x14ac:dyDescent="0.2">
      <c r="A29" s="79" t="s">
        <v>105</v>
      </c>
      <c r="B29" s="42"/>
      <c r="C29" s="94" t="s">
        <v>140</v>
      </c>
      <c r="D29" s="173"/>
      <c r="E29" s="39" t="s">
        <v>54</v>
      </c>
      <c r="F29" s="41">
        <v>2</v>
      </c>
      <c r="G29" s="107">
        <f>(1+0+0)/3</f>
        <v>0.33333333333333331</v>
      </c>
      <c r="H29" s="107">
        <f>(0+1+1)/3</f>
        <v>0.66666666666666663</v>
      </c>
      <c r="I29" s="107">
        <f>(0+0+0)/3</f>
        <v>0</v>
      </c>
      <c r="J29" s="107">
        <f>(0+0+0)/3</f>
        <v>0</v>
      </c>
      <c r="K29" s="107">
        <f>(0+0+0)/3</f>
        <v>0</v>
      </c>
      <c r="L29" s="107">
        <f>(0+0+0)/3</f>
        <v>0</v>
      </c>
      <c r="M29" s="107">
        <f>(0+0+0)/3</f>
        <v>0</v>
      </c>
      <c r="N29" s="107">
        <f>(0+1+0)/3</f>
        <v>0.33333333333333331</v>
      </c>
      <c r="O29" s="107">
        <f>(0+0+0)/3</f>
        <v>0</v>
      </c>
      <c r="P29" s="107">
        <f>(0+0)/2</f>
        <v>0</v>
      </c>
      <c r="Q29" s="107">
        <f>(0+0+0)/3</f>
        <v>0</v>
      </c>
      <c r="R29" s="107">
        <f>(0+0+0)/3</f>
        <v>0</v>
      </c>
      <c r="S29" s="107">
        <f>(1+0+0)/3</f>
        <v>0.33333333333333331</v>
      </c>
      <c r="T29" s="107">
        <f>(0+1+1)/3</f>
        <v>0.66666666666666663</v>
      </c>
      <c r="U29" s="107">
        <f>(0+0+0)/3</f>
        <v>0</v>
      </c>
      <c r="V29" s="107">
        <f>(0+0+0)/3</f>
        <v>0</v>
      </c>
      <c r="W29" s="107">
        <f>(0+0+0)/3</f>
        <v>0</v>
      </c>
      <c r="X29" s="35"/>
    </row>
    <row r="30" spans="1:24" ht="35.25" customHeight="1" x14ac:dyDescent="0.2">
      <c r="A30" s="79" t="s">
        <v>106</v>
      </c>
      <c r="B30" s="42"/>
      <c r="C30" s="94" t="s">
        <v>141</v>
      </c>
      <c r="D30" s="173"/>
      <c r="E30" s="39" t="s">
        <v>56</v>
      </c>
      <c r="F30" s="40">
        <v>0.01</v>
      </c>
      <c r="G30" s="99">
        <f>(0.0025 +0.0051+0.0024)/3</f>
        <v>3.3333333333333335E-3</v>
      </c>
      <c r="H30" s="99">
        <f>(0.0019+0.0026+0.0044)/3</f>
        <v>2.9666666666666665E-3</v>
      </c>
      <c r="I30" s="99">
        <f>(0.0125+0.0009+0.0011)/3</f>
        <v>4.8333333333333336E-3</v>
      </c>
      <c r="J30" s="99">
        <f>(0.0003+0.0001+0.001)/3</f>
        <v>4.6666666666666666E-4</v>
      </c>
      <c r="K30" s="99">
        <f>(0.0008+0.0046+0.0046)/3</f>
        <v>3.3333333333333335E-3</v>
      </c>
      <c r="L30" s="99">
        <f>(0.0001+0+0)/3</f>
        <v>3.3333333333333335E-5</v>
      </c>
      <c r="M30" s="99">
        <f>(0.0007+0.002+0.004)/3</f>
        <v>2.2333333333333333E-3</v>
      </c>
      <c r="N30" s="99">
        <f>(0.0003+0.0005+0.0001)/3</f>
        <v>2.9999999999999997E-4</v>
      </c>
      <c r="O30" s="99">
        <f>(0.0001+0.0001+0.0001)/3</f>
        <v>1E-4</v>
      </c>
      <c r="P30" s="99">
        <f>(0.0002+0)/2</f>
        <v>1E-4</v>
      </c>
      <c r="Q30" s="99">
        <f>(0.0001+0+0)/3</f>
        <v>3.3333333333333335E-5</v>
      </c>
      <c r="R30" s="99">
        <f>(0+0.0003+0)/3</f>
        <v>9.9999999999999991E-5</v>
      </c>
      <c r="S30" s="99">
        <f>(0.0021+0.0003+0.0006)/3</f>
        <v>9.999999999999998E-4</v>
      </c>
      <c r="T30" s="99">
        <f>(0.0006+0.0001+0.0009)/3</f>
        <v>5.3333333333333325E-4</v>
      </c>
      <c r="U30" s="99">
        <f>(0.0006+0.0004+0.0003)/3</f>
        <v>4.3333333333333331E-4</v>
      </c>
      <c r="V30" s="99">
        <f>(0.0004+0.006+0)/3</f>
        <v>2.1333333333333334E-3</v>
      </c>
      <c r="W30" s="99">
        <f>(0+0.001+0.002)/3</f>
        <v>1E-3</v>
      </c>
      <c r="X30" s="163"/>
    </row>
    <row r="31" spans="1:24" ht="31.5" customHeight="1" x14ac:dyDescent="0.2">
      <c r="A31" s="79" t="s">
        <v>107</v>
      </c>
      <c r="B31" s="42"/>
      <c r="C31" s="94" t="s">
        <v>168</v>
      </c>
      <c r="D31" s="173"/>
      <c r="E31" s="39" t="s">
        <v>56</v>
      </c>
      <c r="F31" s="103">
        <v>1</v>
      </c>
      <c r="G31" s="107">
        <v>0</v>
      </c>
      <c r="H31" s="151">
        <f>(0+1+0)/3</f>
        <v>0.33333333333333331</v>
      </c>
      <c r="I31" s="151">
        <f>(0+0+0)/3</f>
        <v>0</v>
      </c>
      <c r="J31" s="151">
        <f>(0+0+0)/3</f>
        <v>0</v>
      </c>
      <c r="K31" s="151">
        <f>(0+0+0)/3</f>
        <v>0</v>
      </c>
      <c r="L31" s="151">
        <f>(0+0+0)/3</f>
        <v>0</v>
      </c>
      <c r="M31" s="151">
        <f>(1+0+0)/3</f>
        <v>0.33333333333333331</v>
      </c>
      <c r="N31" s="151">
        <f>(0+0+1)/3</f>
        <v>0.33333333333333331</v>
      </c>
      <c r="O31" s="151">
        <f>(0+0+0)/3</f>
        <v>0</v>
      </c>
      <c r="P31" s="151">
        <f>(0+0+0)/3</f>
        <v>0</v>
      </c>
      <c r="Q31" s="151">
        <f>(0+0+0)/3</f>
        <v>0</v>
      </c>
      <c r="R31" s="151">
        <f>(0+1+0)/3</f>
        <v>0.33333333333333331</v>
      </c>
      <c r="S31" s="151">
        <f>(0+0)/2</f>
        <v>0</v>
      </c>
      <c r="T31" s="151">
        <f>(0+0+0)/3</f>
        <v>0</v>
      </c>
      <c r="U31" s="151">
        <f>(0+0+0)/3</f>
        <v>0</v>
      </c>
      <c r="V31" s="151">
        <f>(0+0+0)/3</f>
        <v>0</v>
      </c>
      <c r="W31" s="151">
        <f>(0+0+0)/3</f>
        <v>0</v>
      </c>
      <c r="X31" s="35"/>
    </row>
    <row r="32" spans="1:24" ht="38.25" x14ac:dyDescent="0.2">
      <c r="A32" s="79" t="s">
        <v>108</v>
      </c>
      <c r="B32" s="43"/>
      <c r="C32" s="94" t="s">
        <v>142</v>
      </c>
      <c r="D32" s="173" t="s">
        <v>188</v>
      </c>
      <c r="E32" s="39" t="s">
        <v>56</v>
      </c>
      <c r="F32" s="40">
        <v>0.99</v>
      </c>
      <c r="G32" s="101">
        <f>(0.9919+1+0.97)/3</f>
        <v>0.98729999999999996</v>
      </c>
      <c r="H32" s="101">
        <f>(0.9887+0.9937+0.9755)/3</f>
        <v>0.98596666666666677</v>
      </c>
      <c r="I32" s="164">
        <f>(0.9755+0.9994+0.9652)/3</f>
        <v>0.9800333333333332</v>
      </c>
      <c r="J32" s="158">
        <f>(0.9178+0.9245+0.986)/3</f>
        <v>0.94276666666666653</v>
      </c>
      <c r="K32" s="164">
        <f>(0.998+0.969+0.98)/3</f>
        <v>0.98233333333333339</v>
      </c>
      <c r="L32" s="101">
        <f>(0.9957+0.9986+0.9798)/3</f>
        <v>0.99136666666666662</v>
      </c>
      <c r="M32" s="158">
        <f>(0.9989+0.864+0.943)/3</f>
        <v>0.93529999999999991</v>
      </c>
      <c r="N32" s="110">
        <f>(0.9859+0.9918+0.9721)/3</f>
        <v>0.98326666666666662</v>
      </c>
      <c r="O32" s="187">
        <f>(0.995+0.991+0.942)/3</f>
        <v>0.97599999999999998</v>
      </c>
      <c r="P32" s="187">
        <f>(0.972+0.978+0.982)/3</f>
        <v>0.97733333333333328</v>
      </c>
      <c r="Q32" s="187">
        <f>(0.9897+0.95+0.999)/3</f>
        <v>0.97956666666666659</v>
      </c>
      <c r="R32" s="189">
        <f>(0.9982+0.997+0.99)/3</f>
        <v>0.99506666666666665</v>
      </c>
      <c r="S32" s="189">
        <f>(0.975+0.9997+0.983)/3</f>
        <v>0.9859</v>
      </c>
      <c r="T32" s="213">
        <f>(0.9767+0.992+0.9765)/3</f>
        <v>0.98173333333333346</v>
      </c>
      <c r="U32" s="210">
        <f>(0.971+0.986+0.939)/3</f>
        <v>0.96533333333333327</v>
      </c>
      <c r="V32" s="219">
        <f>(0.999+0.98+0.99)/3</f>
        <v>0.98966666666666681</v>
      </c>
      <c r="W32" s="219">
        <f>(0.98+1+0.98)/3</f>
        <v>0.98666666666666669</v>
      </c>
      <c r="X32" s="114"/>
    </row>
    <row r="33" spans="1:24" ht="38.25" x14ac:dyDescent="0.2">
      <c r="A33" s="79" t="s">
        <v>109</v>
      </c>
      <c r="B33" s="43"/>
      <c r="C33" s="94" t="s">
        <v>143</v>
      </c>
      <c r="D33" s="173" t="s">
        <v>188</v>
      </c>
      <c r="E33" s="39" t="s">
        <v>54</v>
      </c>
      <c r="F33" s="40">
        <v>0.99</v>
      </c>
      <c r="G33" s="76">
        <f>(0.9932+1+1)/3</f>
        <v>0.99773333333333325</v>
      </c>
      <c r="H33" s="76">
        <f>(0.9971+1+0.9917)/3</f>
        <v>0.99626666666666674</v>
      </c>
      <c r="I33" s="76">
        <f>(0.9917+1+1)/3</f>
        <v>0.9972333333333333</v>
      </c>
      <c r="J33" s="157">
        <f>(0.9748+0.991)/2</f>
        <v>0.9829</v>
      </c>
      <c r="K33" s="76">
        <f>(0.976+0.996+0.9859)/3</f>
        <v>0.98596666666666666</v>
      </c>
      <c r="L33" s="76">
        <f>(1+1+0.9973)/3</f>
        <v>0.99909999999999999</v>
      </c>
      <c r="M33" s="155">
        <f>(0.9951+0.903+0.997)/3</f>
        <v>0.9650333333333333</v>
      </c>
      <c r="N33" s="76">
        <f>(1+1+0.9873)/3</f>
        <v>0.99576666666666658</v>
      </c>
      <c r="O33" s="76">
        <f>(0.999+0.995+1)/3</f>
        <v>0.99799999999999989</v>
      </c>
      <c r="P33" s="76">
        <f>(0.984+0.999+0.995)/3</f>
        <v>0.9926666666666667</v>
      </c>
      <c r="Q33" s="76">
        <f>(0.9986+0.986+0.997)/3</f>
        <v>0.99386666666666656</v>
      </c>
      <c r="R33" s="76">
        <f>(1+1+1)/3</f>
        <v>1</v>
      </c>
      <c r="S33" s="76">
        <f>(0.991+1+0.981)/3</f>
        <v>0.9906666666666667</v>
      </c>
      <c r="T33" s="76">
        <f>(0.9999+1+1)/3</f>
        <v>0.99996666666666678</v>
      </c>
      <c r="U33" s="76">
        <f>(1+0.997+0.9861)/3</f>
        <v>0.99436666666666662</v>
      </c>
      <c r="V33" s="76">
        <f>(1+1+1)/3</f>
        <v>1</v>
      </c>
      <c r="W33" s="76">
        <f>(1+1+1)/3</f>
        <v>1</v>
      </c>
      <c r="X33" s="163"/>
    </row>
    <row r="34" spans="1:24" ht="38.25" x14ac:dyDescent="0.2">
      <c r="A34" s="79" t="s">
        <v>110</v>
      </c>
      <c r="B34" s="43"/>
      <c r="C34" s="94" t="s">
        <v>144</v>
      </c>
      <c r="D34" s="173" t="s">
        <v>188</v>
      </c>
      <c r="E34" s="39" t="s">
        <v>54</v>
      </c>
      <c r="F34" s="40">
        <v>0.99</v>
      </c>
      <c r="G34" s="109">
        <f>(0.9957+1+0.92)/3</f>
        <v>0.9719000000000001</v>
      </c>
      <c r="H34" s="101">
        <f>(0.997+1+0.9916)/3</f>
        <v>0.99619999999999997</v>
      </c>
      <c r="I34" s="101">
        <f>(0.9916+0.9986+0.9812)/3</f>
        <v>0.99046666666666672</v>
      </c>
      <c r="J34" s="158">
        <f>(0.9785+0.6493+0.993)/3</f>
        <v>0.87360000000000004</v>
      </c>
      <c r="K34" s="164">
        <f>(0.999+0.9741+0.9619)/3</f>
        <v>0.97833333333333339</v>
      </c>
      <c r="L34" s="101">
        <f>(0.9906+0.9987+1)/3</f>
        <v>0.99643333333333339</v>
      </c>
      <c r="M34" s="158">
        <f>(0.9936+0.853+0.996)/3</f>
        <v>0.94753333333333334</v>
      </c>
      <c r="N34" s="101">
        <f>(0.9947+0.9971+0.9675)/3</f>
        <v>0.98643333333333327</v>
      </c>
      <c r="O34" s="76">
        <f>(0.969+0.995+0.997)/3</f>
        <v>0.98699999999999999</v>
      </c>
      <c r="P34" s="109">
        <f>(0.991+0.965+0.987)/3</f>
        <v>0.98099999999999998</v>
      </c>
      <c r="Q34" s="76">
        <f>(0.99+0.977+1)/3</f>
        <v>0.98899999999999999</v>
      </c>
      <c r="R34" s="109">
        <f>(0.9961+0.986+0.957)/3</f>
        <v>0.9796999999999999</v>
      </c>
      <c r="S34" s="76">
        <f>(0.981+1+0.977)/3</f>
        <v>0.98599999999999988</v>
      </c>
      <c r="T34" s="76">
        <f>(0.9961+0.994+0.9985)/3</f>
        <v>0.99619999999999997</v>
      </c>
      <c r="U34" s="155">
        <f>(0.972+0.984+0.954)/3</f>
        <v>0.97000000000000008</v>
      </c>
      <c r="V34" s="76">
        <f>(0.999+0.98+0.99)/3</f>
        <v>0.98966666666666681</v>
      </c>
      <c r="W34" s="76">
        <f>(0.98+0.98+0.99)/3</f>
        <v>0.98333333333333339</v>
      </c>
      <c r="X34" s="114"/>
    </row>
    <row r="35" spans="1:24" ht="38.25" x14ac:dyDescent="0.2">
      <c r="A35" s="79" t="s">
        <v>111</v>
      </c>
      <c r="B35" s="43"/>
      <c r="C35" s="94" t="s">
        <v>145</v>
      </c>
      <c r="D35" s="173" t="s">
        <v>188</v>
      </c>
      <c r="E35" s="39" t="s">
        <v>56</v>
      </c>
      <c r="F35" s="40">
        <v>0.99</v>
      </c>
      <c r="G35" s="110">
        <f>(0.972+1+0.98)/3</f>
        <v>0.98399999999999999</v>
      </c>
      <c r="H35" s="101">
        <f>(0.9989+1+0.9903)/3</f>
        <v>0.99639999999999995</v>
      </c>
      <c r="I35" s="101">
        <f>(0.9903+1+0.9934)/3</f>
        <v>0.9945666666666666</v>
      </c>
      <c r="J35" s="158">
        <f>(0.9748+0.953+0.99)/3</f>
        <v>0.97259999999999991</v>
      </c>
      <c r="K35" s="164">
        <f>(0.992+0.9738+0.9746)/3</f>
        <v>0.9801333333333333</v>
      </c>
      <c r="L35" s="101">
        <f>(0.9985+0.9973+1)/3</f>
        <v>0.99860000000000004</v>
      </c>
      <c r="M35" s="158">
        <f>(0.9921+0.905+0.996)/3</f>
        <v>0.96436666666666671</v>
      </c>
      <c r="N35" s="101">
        <f>(1+0.9972+0.9762)/3</f>
        <v>0.99113333333333331</v>
      </c>
      <c r="O35" s="98">
        <f>(0.998+0.995+1)/3</f>
        <v>0.99766666666666659</v>
      </c>
      <c r="P35" s="98">
        <f>(0.99+0.993+0.996)/3</f>
        <v>0.99299999999999999</v>
      </c>
      <c r="Q35" s="98">
        <f>(0.9952+0.98+1)/3</f>
        <v>0.99173333333333336</v>
      </c>
      <c r="R35" s="98">
        <f>(0.9988+0.981+0.997)/3</f>
        <v>0.99226666666666663</v>
      </c>
      <c r="S35" s="98">
        <f>(0.979+1+0.989)/3</f>
        <v>0.98933333333333329</v>
      </c>
      <c r="T35" s="98">
        <f>(0.9987+0.999+0.9987)/3</f>
        <v>0.99880000000000002</v>
      </c>
      <c r="U35" s="211">
        <f>(0.994+0.996+0.951)/3</f>
        <v>0.98033333333333328</v>
      </c>
      <c r="V35" s="115">
        <f>(0.936+0.98+0.99)/3</f>
        <v>0.96866666666666656</v>
      </c>
      <c r="W35" s="98">
        <f>(0.98+0.99+0.99)/3</f>
        <v>0.98666666666666669</v>
      </c>
      <c r="X35" s="114" t="s">
        <v>239</v>
      </c>
    </row>
    <row r="36" spans="1:24" ht="25.5" x14ac:dyDescent="0.2">
      <c r="A36" s="79" t="s">
        <v>112</v>
      </c>
      <c r="B36" s="43"/>
      <c r="C36" s="94" t="s">
        <v>146</v>
      </c>
      <c r="D36" s="173"/>
      <c r="E36" s="39" t="s">
        <v>56</v>
      </c>
      <c r="F36" s="40">
        <v>0.99</v>
      </c>
      <c r="G36" s="76">
        <f>(1+1+1)/3</f>
        <v>1</v>
      </c>
      <c r="H36" s="76">
        <f>(1+1+1)/3</f>
        <v>1</v>
      </c>
      <c r="I36" s="76">
        <f>(1+1+1)/3</f>
        <v>1</v>
      </c>
      <c r="J36" s="76">
        <f>(1+1+1)/3</f>
        <v>1</v>
      </c>
      <c r="K36" s="76">
        <f>(1+1+1)/3</f>
        <v>1</v>
      </c>
      <c r="L36" s="76">
        <f>(1+1+0.999)/3</f>
        <v>0.9996666666666667</v>
      </c>
      <c r="M36" s="76">
        <f>(1+0.9583+1)/3</f>
        <v>0.98609999999999998</v>
      </c>
      <c r="N36" s="76">
        <f>(1+0.997+1)/3</f>
        <v>0.999</v>
      </c>
      <c r="O36" s="76">
        <f>(1+1+1)/3</f>
        <v>1</v>
      </c>
      <c r="P36" s="76">
        <f>(1+1+1)/3</f>
        <v>1</v>
      </c>
      <c r="Q36" s="76">
        <f>(1+1+1)/3</f>
        <v>1</v>
      </c>
      <c r="R36" s="76">
        <f>(1+0.9999+1)/3</f>
        <v>0.99996666666666678</v>
      </c>
      <c r="S36" s="76">
        <f>(1+0.983+1)/3</f>
        <v>0.9943333333333334</v>
      </c>
      <c r="T36" s="76">
        <f>(1+1+1)/3</f>
        <v>1</v>
      </c>
      <c r="U36" s="76">
        <f>(1+1+1)/3</f>
        <v>1</v>
      </c>
      <c r="V36" s="76">
        <f>(1+1+1)/3</f>
        <v>1</v>
      </c>
      <c r="W36" s="76">
        <f>(1+1+1)/3</f>
        <v>1</v>
      </c>
      <c r="X36" s="35"/>
    </row>
    <row r="37" spans="1:24" s="30" customFormat="1" ht="13.5" thickBot="1" x14ac:dyDescent="0.25">
      <c r="A37" s="85"/>
      <c r="B37" s="86"/>
      <c r="C37" s="87"/>
      <c r="D37" s="88"/>
      <c r="E37" s="45"/>
      <c r="F37" s="46"/>
      <c r="G37" s="46"/>
      <c r="H37" s="46"/>
      <c r="I37" s="46"/>
      <c r="J37" s="89"/>
      <c r="K37" s="89"/>
      <c r="L37" s="89"/>
      <c r="M37" s="89"/>
      <c r="N37" s="46"/>
      <c r="O37" s="46"/>
      <c r="P37" s="46"/>
      <c r="Q37" s="46"/>
      <c r="R37" s="46"/>
      <c r="S37" s="46"/>
      <c r="T37" s="46"/>
      <c r="U37" s="46"/>
      <c r="V37" s="46"/>
      <c r="W37" s="46"/>
      <c r="X37" s="90"/>
    </row>
    <row r="38" spans="1:24" ht="51" x14ac:dyDescent="0.2">
      <c r="A38" s="79" t="s">
        <v>113</v>
      </c>
      <c r="B38" s="42"/>
      <c r="C38" s="92" t="s">
        <v>147</v>
      </c>
      <c r="D38" s="173"/>
      <c r="E38" s="39" t="s">
        <v>57</v>
      </c>
      <c r="F38" s="40">
        <v>0.97</v>
      </c>
      <c r="G38" s="76">
        <f>(0.97+1+1)/3</f>
        <v>0.98999999999999988</v>
      </c>
      <c r="H38" s="76">
        <f>(0.97+1+0.99)/3</f>
        <v>0.98666666666666669</v>
      </c>
      <c r="I38" s="76">
        <f>(0.98+1+0.97)/3</f>
        <v>0.98333333333333339</v>
      </c>
      <c r="J38" s="155">
        <f>(0.96+0.84+0.99)/3</f>
        <v>0.93</v>
      </c>
      <c r="K38" s="178">
        <f>(1+1+0.99)/3</f>
        <v>0.9966666666666667</v>
      </c>
      <c r="L38" s="178">
        <f>(1+1+1)/3</f>
        <v>1</v>
      </c>
      <c r="M38" s="179">
        <f>(0.99+0.89+0.99)/3</f>
        <v>0.95666666666666667</v>
      </c>
      <c r="N38" s="178">
        <f>(1+1+0.98)/3</f>
        <v>0.99333333333333329</v>
      </c>
      <c r="O38" s="178">
        <f>(1+1+0.98)/3</f>
        <v>0.99333333333333329</v>
      </c>
      <c r="P38" s="178">
        <f>(0.98+1+0.99)/3</f>
        <v>0.98999999999999988</v>
      </c>
      <c r="Q38" s="178">
        <f>(1+0.96+1)/3</f>
        <v>0.98666666666666669</v>
      </c>
      <c r="R38" s="178">
        <f>(1+1+1)/3</f>
        <v>1</v>
      </c>
      <c r="S38" s="178">
        <f>(0.99+1+1)/3</f>
        <v>0.9966666666666667</v>
      </c>
      <c r="T38" s="178">
        <f>(1+1+1)/3</f>
        <v>1</v>
      </c>
      <c r="U38" s="178">
        <f>(0.99+1+0.98)/3</f>
        <v>0.98999999999999988</v>
      </c>
      <c r="V38" s="178">
        <f>(1+1+1)/3</f>
        <v>1</v>
      </c>
      <c r="W38" s="178">
        <f>(0.99+1+1)/3</f>
        <v>0.9966666666666667</v>
      </c>
      <c r="X38" s="114"/>
    </row>
    <row r="39" spans="1:24" ht="25.5" x14ac:dyDescent="0.2">
      <c r="A39" s="79" t="s">
        <v>114</v>
      </c>
      <c r="B39" s="42"/>
      <c r="C39" s="95" t="s">
        <v>148</v>
      </c>
      <c r="D39" s="173"/>
      <c r="E39" s="39" t="s">
        <v>56</v>
      </c>
      <c r="F39" s="40">
        <v>0.97</v>
      </c>
      <c r="G39" s="109">
        <f>(0.9+0.99+1)/3</f>
        <v>0.96333333333333337</v>
      </c>
      <c r="H39" s="76">
        <f>(0.99+1+1)/3</f>
        <v>0.9966666666666667</v>
      </c>
      <c r="I39" s="76">
        <f>(1+1+1)/3</f>
        <v>1</v>
      </c>
      <c r="J39" s="76">
        <f>(0.99+0.95+0.99)/3</f>
        <v>0.97666666666666657</v>
      </c>
      <c r="K39" s="76">
        <f>(1+1+0.99)/3</f>
        <v>0.9966666666666667</v>
      </c>
      <c r="L39" s="76">
        <f>(1+1+0.99)/3</f>
        <v>0.9966666666666667</v>
      </c>
      <c r="M39" s="155">
        <f>(0.99+0.88+0.99)/3</f>
        <v>0.95333333333333348</v>
      </c>
      <c r="N39" s="76">
        <f>(1+1+0.97)/3</f>
        <v>0.98999999999999988</v>
      </c>
      <c r="O39" s="76">
        <f>(1+0.99+1)/3</f>
        <v>0.9966666666666667</v>
      </c>
      <c r="P39" s="76">
        <f>(0.97+1+1)/3</f>
        <v>0.98999999999999988</v>
      </c>
      <c r="Q39" s="76">
        <f>(1+0.92+1)/3</f>
        <v>0.97333333333333327</v>
      </c>
      <c r="R39" s="76">
        <f>(1+1+1)/3</f>
        <v>1</v>
      </c>
      <c r="S39" s="76">
        <f>(0.99+1+0.98)/3</f>
        <v>0.98999999999999988</v>
      </c>
      <c r="T39" s="76">
        <f>(1+1+1)/3</f>
        <v>1</v>
      </c>
      <c r="U39" s="76">
        <f>(1+1+0.99)/3</f>
        <v>0.9966666666666667</v>
      </c>
      <c r="V39" s="76">
        <f>(1+1+1)/3</f>
        <v>1</v>
      </c>
      <c r="W39" s="76">
        <f>(1+1+1)/3</f>
        <v>1</v>
      </c>
      <c r="X39" s="114"/>
    </row>
    <row r="40" spans="1:24" ht="25.5" x14ac:dyDescent="0.2">
      <c r="A40" s="79" t="s">
        <v>175</v>
      </c>
      <c r="B40" s="42"/>
      <c r="C40" s="95" t="s">
        <v>183</v>
      </c>
      <c r="D40" s="75"/>
      <c r="E40" s="39"/>
      <c r="F40" s="40"/>
      <c r="G40" s="76"/>
      <c r="H40" s="76"/>
      <c r="I40" s="76"/>
      <c r="J40" s="160">
        <f>(5+7+5)/3</f>
        <v>5.666666666666667</v>
      </c>
      <c r="K40" s="102">
        <v>2.2999999999999998</v>
      </c>
      <c r="L40" s="102">
        <f>(1+1+5)/3</f>
        <v>2.3333333333333335</v>
      </c>
      <c r="M40" s="174">
        <v>5</v>
      </c>
      <c r="N40" s="102">
        <f>(1+1+4)/3</f>
        <v>2</v>
      </c>
      <c r="O40" s="102">
        <f>(1+5+1)/3</f>
        <v>2.3333333333333335</v>
      </c>
      <c r="P40" s="153"/>
      <c r="Q40" s="153"/>
      <c r="R40" s="153"/>
      <c r="S40" s="153"/>
      <c r="T40" s="218"/>
      <c r="U40" s="218"/>
      <c r="V40" s="218"/>
      <c r="W40" s="218"/>
      <c r="X40" s="114"/>
    </row>
    <row r="41" spans="1:24" ht="25.5" x14ac:dyDescent="0.2">
      <c r="A41" s="79" t="s">
        <v>115</v>
      </c>
      <c r="B41" s="42"/>
      <c r="C41" s="91" t="s">
        <v>149</v>
      </c>
      <c r="D41" s="173"/>
      <c r="E41" s="39" t="s">
        <v>56</v>
      </c>
      <c r="F41" s="40">
        <v>0.97</v>
      </c>
      <c r="G41" s="109">
        <f>(0.92+0.99+0.97)/3</f>
        <v>0.96</v>
      </c>
      <c r="H41" s="109">
        <f>(0.95+0.96+0.9)/3</f>
        <v>0.93666666666666665</v>
      </c>
      <c r="I41" s="109">
        <f>(0.92+0.975+0.96)/3</f>
        <v>0.95166666666666666</v>
      </c>
      <c r="J41" s="155">
        <f>(0.88+0.86+0.99)/3</f>
        <v>0.91</v>
      </c>
      <c r="K41" s="76">
        <f>(0.99+0.96+0.98)/3</f>
        <v>0.97666666666666657</v>
      </c>
      <c r="L41" s="76">
        <f>(1+0.99+0.98)/3</f>
        <v>0.98999999999999988</v>
      </c>
      <c r="M41" s="155">
        <f>(1+0.86+0.93)/3</f>
        <v>0.93</v>
      </c>
      <c r="N41" s="76">
        <f>(0.97+0.97+0.99)/3</f>
        <v>0.97666666666666657</v>
      </c>
      <c r="O41" s="76">
        <f>(0.99+0.99+0.93)/3</f>
        <v>0.97000000000000008</v>
      </c>
      <c r="P41" s="76">
        <f>(0.96+0.98+0.98)/3</f>
        <v>0.97333333333333327</v>
      </c>
      <c r="Q41" s="109">
        <f>(0.99+0.9+1)/3</f>
        <v>0.96333333333333337</v>
      </c>
      <c r="R41" s="76">
        <f>(1+1+0.99)/3</f>
        <v>0.9966666666666667</v>
      </c>
      <c r="S41" s="76">
        <f>(0.98+1+0.98)/3</f>
        <v>0.98666666666666669</v>
      </c>
      <c r="T41" s="76">
        <f>(0.98+0.99+0.98)/3</f>
        <v>0.98333333333333339</v>
      </c>
      <c r="U41" s="76">
        <f>(0.97+0.99+0.94)/3</f>
        <v>0.96666666666666667</v>
      </c>
      <c r="V41" s="189">
        <f>(1+0.98+0.99)/3</f>
        <v>0.98999999999999988</v>
      </c>
      <c r="W41" s="189">
        <f>(0.98+1+0.98)/3</f>
        <v>0.98666666666666669</v>
      </c>
      <c r="X41" s="114"/>
    </row>
    <row r="42" spans="1:24" ht="25.5" x14ac:dyDescent="0.2">
      <c r="A42" s="79" t="s">
        <v>178</v>
      </c>
      <c r="B42" s="42"/>
      <c r="C42" s="95" t="s">
        <v>176</v>
      </c>
      <c r="D42" s="75"/>
      <c r="E42" s="39"/>
      <c r="F42" s="116">
        <f>0.5*11</f>
        <v>5.5</v>
      </c>
      <c r="G42" s="152">
        <f>(10+4+10)/3</f>
        <v>8</v>
      </c>
      <c r="H42" s="152">
        <f>(10+10+11)/3</f>
        <v>10.333333333333334</v>
      </c>
      <c r="I42" s="152">
        <f>(10+6+10)/3</f>
        <v>8.6666666666666661</v>
      </c>
      <c r="J42" s="152">
        <f>(10+12+7)/3</f>
        <v>9.6666666666666661</v>
      </c>
      <c r="K42" s="152">
        <v>8</v>
      </c>
      <c r="L42" s="153">
        <f>(1+7+7)/3</f>
        <v>5</v>
      </c>
      <c r="M42" s="154">
        <v>6</v>
      </c>
      <c r="N42" s="152">
        <f>(7+7+7)/3</f>
        <v>7</v>
      </c>
      <c r="O42" s="154">
        <f>(4+4+11)/3</f>
        <v>6.333333333333333</v>
      </c>
      <c r="P42" s="154"/>
      <c r="Q42" s="154"/>
      <c r="R42" s="153"/>
      <c r="S42" s="153"/>
      <c r="T42" s="218"/>
      <c r="U42" s="218"/>
      <c r="V42" s="218"/>
      <c r="W42" s="218"/>
      <c r="X42" s="114"/>
    </row>
    <row r="43" spans="1:24" ht="25.5" x14ac:dyDescent="0.2">
      <c r="A43" s="79" t="s">
        <v>116</v>
      </c>
      <c r="B43" s="42"/>
      <c r="C43" s="91" t="s">
        <v>150</v>
      </c>
      <c r="D43" s="170"/>
      <c r="E43" s="38"/>
      <c r="F43" s="40">
        <v>0.97</v>
      </c>
      <c r="G43" s="98">
        <f>(0.99+1+0.92)/3</f>
        <v>0.97000000000000008</v>
      </c>
      <c r="H43" s="98">
        <f>(0.96+0.99+0.96)/3</f>
        <v>0.97000000000000008</v>
      </c>
      <c r="I43" s="98">
        <f>(0.952+0.993+0.98)/3</f>
        <v>0.97499999999999998</v>
      </c>
      <c r="J43" s="156">
        <f>(0.97+0.92+0.99)/3</f>
        <v>0.96</v>
      </c>
      <c r="K43" s="76">
        <f>(1+0.97+0.96)/3</f>
        <v>0.97666666666666657</v>
      </c>
      <c r="L43" s="76">
        <f>(0.99+1+1)/3</f>
        <v>0.9966666666666667</v>
      </c>
      <c r="M43" s="155">
        <f>(0.99+0.84+0.98)/3</f>
        <v>0.93666666666666665</v>
      </c>
      <c r="N43" s="76">
        <f>(0.99+1+0.96)/3</f>
        <v>0.98333333333333339</v>
      </c>
      <c r="O43" s="76">
        <f>(0.97+0.99+1)/3</f>
        <v>0.98666666666666669</v>
      </c>
      <c r="P43" s="76">
        <f>(0.98+0.96+0.99)/3</f>
        <v>0.97666666666666657</v>
      </c>
      <c r="Q43" s="76">
        <f>(0.99+0.98+1)/3</f>
        <v>0.98999999999999988</v>
      </c>
      <c r="R43" s="76">
        <f>(0.97+0.98+0.96)/3</f>
        <v>0.97000000000000008</v>
      </c>
      <c r="S43" s="76">
        <f>(0.98+1+0.98)/3</f>
        <v>0.98666666666666669</v>
      </c>
      <c r="T43" s="76">
        <f>(1+0.99+1)/3</f>
        <v>0.9966666666666667</v>
      </c>
      <c r="U43" s="212">
        <f>(0.97+0.98+0.94)/3</f>
        <v>0.96333333333333326</v>
      </c>
      <c r="V43" s="76">
        <f>(1+0.98+0.99)/3</f>
        <v>0.98999999999999988</v>
      </c>
      <c r="W43" s="76">
        <f>(0.98+0.99+0.99)/3</f>
        <v>0.98666666666666669</v>
      </c>
      <c r="X43" s="114"/>
    </row>
    <row r="44" spans="1:24" ht="25.5" x14ac:dyDescent="0.2">
      <c r="A44" s="79" t="s">
        <v>179</v>
      </c>
      <c r="B44" s="42"/>
      <c r="C44" s="95" t="s">
        <v>177</v>
      </c>
      <c r="D44" s="73"/>
      <c r="E44" s="38"/>
      <c r="F44" s="116">
        <f>0.5*8</f>
        <v>4</v>
      </c>
      <c r="G44" s="153">
        <f>(4+1+8)/3</f>
        <v>4.333333333333333</v>
      </c>
      <c r="H44" s="154">
        <f>(8+4+7)/3</f>
        <v>6.333333333333333</v>
      </c>
      <c r="I44" s="154">
        <f>(7+3+5)/3</f>
        <v>5</v>
      </c>
      <c r="J44" s="152">
        <f>(7+8+4)/3</f>
        <v>6.333333333333333</v>
      </c>
      <c r="K44" s="165">
        <v>5.3</v>
      </c>
      <c r="L44" s="153">
        <f>(3+1+1)/3</f>
        <v>1.6666666666666667</v>
      </c>
      <c r="M44" s="153">
        <v>4</v>
      </c>
      <c r="N44" s="153">
        <f>(4+1+8)/3</f>
        <v>4.333333333333333</v>
      </c>
      <c r="O44" s="153">
        <f>(7+5+1)/3</f>
        <v>4.333333333333333</v>
      </c>
      <c r="P44" s="153"/>
      <c r="Q44" s="153"/>
      <c r="R44" s="153"/>
      <c r="S44" s="153"/>
      <c r="T44" s="218"/>
      <c r="U44" s="218"/>
      <c r="V44" s="218"/>
      <c r="W44" s="218"/>
      <c r="X44" s="114"/>
    </row>
    <row r="45" spans="1:24" ht="25.5" x14ac:dyDescent="0.2">
      <c r="A45" s="79" t="s">
        <v>117</v>
      </c>
      <c r="B45" s="43"/>
      <c r="C45" s="91" t="s">
        <v>151</v>
      </c>
      <c r="D45" s="170"/>
      <c r="E45" s="39" t="s">
        <v>56</v>
      </c>
      <c r="F45" s="40">
        <v>0.97</v>
      </c>
      <c r="G45" s="115">
        <f>(0.86+0.89+0.98)/3</f>
        <v>0.91</v>
      </c>
      <c r="H45" s="98">
        <f>(0.98+1+0.99)/3</f>
        <v>0.98999999999999988</v>
      </c>
      <c r="I45" s="98">
        <f>(0.97+0.99+0.99)/3</f>
        <v>0.98333333333333339</v>
      </c>
      <c r="J45" s="156">
        <f>(0.97+0.91+0.98)/3</f>
        <v>0.95333333333333325</v>
      </c>
      <c r="K45" s="76">
        <f>(0.98+0.97+0.97)/3</f>
        <v>0.97333333333333327</v>
      </c>
      <c r="L45" s="76">
        <f>(1+1+0.99)/3</f>
        <v>0.9966666666666667</v>
      </c>
      <c r="M45" s="155">
        <f>(1+0.89+1)/3</f>
        <v>0.96333333333333337</v>
      </c>
      <c r="N45" s="76">
        <f>(1+1+0.97)/3</f>
        <v>0.98999999999999988</v>
      </c>
      <c r="O45" s="76">
        <f>(1+0.99+1)/3</f>
        <v>0.9966666666666667</v>
      </c>
      <c r="P45" s="76">
        <f>(0.96+0.99+1)/3</f>
        <v>0.98333333333333339</v>
      </c>
      <c r="Q45" s="76">
        <f>(0.99+0.93+1)/3</f>
        <v>0.97333333333333327</v>
      </c>
      <c r="R45" s="76">
        <f>(1+0.98+1)/3</f>
        <v>0.99333333333333329</v>
      </c>
      <c r="S45" s="76">
        <f>(0.98+1+0.99)/3</f>
        <v>0.98999999999999988</v>
      </c>
      <c r="T45" s="76">
        <f>(1+1+1)/3</f>
        <v>1</v>
      </c>
      <c r="U45" s="76">
        <f>(0.99+1+0.95)/3</f>
        <v>0.98</v>
      </c>
      <c r="V45" s="115">
        <f>(0.94+0.98+0.99)/3</f>
        <v>0.97000000000000008</v>
      </c>
      <c r="W45" s="98">
        <f>(0.98+0.99+0.99)/3</f>
        <v>0.98666666666666669</v>
      </c>
      <c r="X45" s="114" t="s">
        <v>240</v>
      </c>
    </row>
    <row r="46" spans="1:24" ht="25.5" x14ac:dyDescent="0.2">
      <c r="A46" s="79" t="s">
        <v>180</v>
      </c>
      <c r="B46" s="43"/>
      <c r="C46" s="95" t="s">
        <v>181</v>
      </c>
      <c r="D46" s="73"/>
      <c r="E46" s="39"/>
      <c r="F46" s="40"/>
      <c r="G46" s="153">
        <f>(5+6+2)/3</f>
        <v>4.333333333333333</v>
      </c>
      <c r="H46" s="153">
        <f>(4+1+2)/3</f>
        <v>2.3333333333333335</v>
      </c>
      <c r="I46" s="153">
        <f>(1+3+3)/3</f>
        <v>2.3333333333333335</v>
      </c>
      <c r="J46" s="152">
        <f>(6+8+5)/3</f>
        <v>6.333333333333333</v>
      </c>
      <c r="K46" s="152">
        <f>(6+8+5)/3</f>
        <v>6.333333333333333</v>
      </c>
      <c r="L46" s="153">
        <f>(1+1+1)/3</f>
        <v>1</v>
      </c>
      <c r="M46" s="153">
        <v>3</v>
      </c>
      <c r="N46" s="153">
        <f>(1+1+5)/3</f>
        <v>2.3333333333333335</v>
      </c>
      <c r="O46" s="153">
        <f>(1+3+1)/3</f>
        <v>1.6666666666666667</v>
      </c>
      <c r="P46" s="153"/>
      <c r="Q46" s="153"/>
      <c r="R46" s="153"/>
      <c r="S46" s="153"/>
      <c r="T46" s="218"/>
      <c r="U46" s="218"/>
      <c r="V46" s="218"/>
      <c r="W46" s="218"/>
      <c r="X46" s="114"/>
    </row>
    <row r="47" spans="1:24" ht="25.5" x14ac:dyDescent="0.2">
      <c r="A47" s="79" t="s">
        <v>118</v>
      </c>
      <c r="B47" s="43"/>
      <c r="C47" s="91" t="s">
        <v>152</v>
      </c>
      <c r="D47" s="170"/>
      <c r="E47" s="39" t="s">
        <v>56</v>
      </c>
      <c r="F47" s="40">
        <v>0.95</v>
      </c>
      <c r="G47" s="76">
        <f>((1+1+1)*42+(168-42)*(0.97+1+1))/(168*3)</f>
        <v>0.99249999999999994</v>
      </c>
      <c r="H47" s="76">
        <f>((1+1+1)*42+(168-42)*(1+1+1))/(168*3)</f>
        <v>1</v>
      </c>
      <c r="I47" s="76">
        <f>((0.96+1+1)*42+(168-42)*(0.98+1+1))/(168*3)</f>
        <v>0.9916666666666667</v>
      </c>
      <c r="J47" s="76">
        <f>((1+1+1)*42+(168-42)*(1+1+1))/(168*3)</f>
        <v>1</v>
      </c>
      <c r="K47" s="76">
        <f>((1+1+1)*42+(168-42)*(1+1+1))/(168*3)</f>
        <v>1</v>
      </c>
      <c r="L47" s="76">
        <f>((1+1+1)*42+(168-42)*(1+1+1))/(168*3)</f>
        <v>1</v>
      </c>
      <c r="M47" s="76">
        <f>((1+1+1)*42+(168-42)*(1+1+1))/(168*3)</f>
        <v>1</v>
      </c>
      <c r="N47" s="76">
        <f>((1+1+1)*42+(168-42)*(1+1+1))/(168*3)</f>
        <v>1</v>
      </c>
      <c r="O47" s="76">
        <f>((1+1+1)*42+(168-42)*(1+1+0.92))/(168*3)</f>
        <v>0.98</v>
      </c>
      <c r="P47" s="76">
        <f>((1+1+1)*42+(168-42)*(1+1+0.94))/(168*3)</f>
        <v>0.98499999999999999</v>
      </c>
      <c r="Q47" s="76">
        <f>((1+1+0.88)*42+(168-42)*(0.95+1+1))/(168*3)</f>
        <v>0.97750000000000004</v>
      </c>
      <c r="R47" s="76">
        <f>((1+1+1)*42+(168-42)*(1+1+1))/(168*3)</f>
        <v>1</v>
      </c>
      <c r="S47" s="76">
        <f>((1+1+1)*42+(168-42)*(1+1+1))/(168*3)</f>
        <v>1</v>
      </c>
      <c r="T47" s="76">
        <f>((1+1+1)*42+(168-42)*(1+1+1))/(168*3)</f>
        <v>1</v>
      </c>
      <c r="U47" s="76">
        <f>((1+0.86+1)*42+(168-42)*(1+1+1))/(168*3)</f>
        <v>0.9883333333333334</v>
      </c>
      <c r="V47" s="212">
        <f>((1+1+1)*42+(168-42)*(1+1+0.88))/(168*3)</f>
        <v>0.97</v>
      </c>
      <c r="W47" s="76">
        <f>((1+1+1)*42+(168-42)*(1+1+1))/(168*3)</f>
        <v>1</v>
      </c>
      <c r="X47" s="19"/>
    </row>
    <row r="48" spans="1:24" ht="63.75" customHeight="1" x14ac:dyDescent="0.2">
      <c r="A48" s="79" t="s">
        <v>119</v>
      </c>
      <c r="B48" s="43"/>
      <c r="C48" s="91" t="s">
        <v>153</v>
      </c>
      <c r="D48" s="170"/>
      <c r="E48" s="51" t="s">
        <v>77</v>
      </c>
      <c r="F48" s="111" t="s">
        <v>169</v>
      </c>
      <c r="G48" s="102">
        <v>0</v>
      </c>
      <c r="H48" s="102">
        <f>(2+0+2)/3</f>
        <v>1.3333333333333333</v>
      </c>
      <c r="I48" s="102">
        <f>(0+1+1)/3</f>
        <v>0.66666666666666663</v>
      </c>
      <c r="J48" s="102">
        <f>(3+4+2)/3</f>
        <v>3</v>
      </c>
      <c r="K48" s="102">
        <f>(0+2+1)/3</f>
        <v>1</v>
      </c>
      <c r="L48" s="102">
        <f>(0+1+0)/3</f>
        <v>0.33333333333333331</v>
      </c>
      <c r="M48" s="102">
        <f>(1+4+0)/3</f>
        <v>1.6666666666666667</v>
      </c>
      <c r="N48" s="102">
        <f>(0+0+0)/3</f>
        <v>0</v>
      </c>
      <c r="O48" s="102">
        <f>(0+0+0)/3</f>
        <v>0</v>
      </c>
      <c r="P48" s="102">
        <f>(0+2+2)/3</f>
        <v>1.3333333333333333</v>
      </c>
      <c r="Q48" s="102">
        <f>(1+0+0)/3</f>
        <v>0.33333333333333331</v>
      </c>
      <c r="R48" s="102">
        <f>(0+0+0)/3</f>
        <v>0</v>
      </c>
      <c r="S48" s="102">
        <f>(0+1+0)/3</f>
        <v>0.33333333333333331</v>
      </c>
      <c r="T48" s="102">
        <f>(0+2+1)/3</f>
        <v>1</v>
      </c>
      <c r="U48" s="102">
        <f>(0+1+0)/3</f>
        <v>0.33333333333333331</v>
      </c>
      <c r="V48" s="102">
        <f>(1+0+1)/3</f>
        <v>0.66666666666666663</v>
      </c>
      <c r="W48" s="102">
        <f>(2+0+0)/3</f>
        <v>0.66666666666666663</v>
      </c>
      <c r="X48" s="163"/>
    </row>
    <row r="49" spans="1:24" ht="25.5" x14ac:dyDescent="0.2">
      <c r="A49" s="79" t="s">
        <v>120</v>
      </c>
      <c r="B49" s="43"/>
      <c r="C49" s="91" t="s">
        <v>154</v>
      </c>
      <c r="D49" s="170"/>
      <c r="E49" s="39" t="s">
        <v>60</v>
      </c>
      <c r="F49" s="40">
        <v>0.7</v>
      </c>
      <c r="G49" s="76">
        <f>(0.86+0.883+0.67)/3</f>
        <v>0.80433333333333323</v>
      </c>
      <c r="H49" s="76">
        <f>(0.82+0.807+0.857)/3</f>
        <v>0.82799999999999996</v>
      </c>
      <c r="I49" s="76">
        <f>(0.855+0.82+0.839)/3</f>
        <v>0.83799999999999997</v>
      </c>
      <c r="J49" s="76">
        <f>(0.834+0.857+0.87)/3</f>
        <v>0.85366666666666668</v>
      </c>
      <c r="K49" s="76">
        <f>(0.912+0.9+0.906)/3</f>
        <v>0.90600000000000003</v>
      </c>
      <c r="L49" s="76">
        <f>(0.882+0.9+0.907)/3</f>
        <v>0.89633333333333332</v>
      </c>
      <c r="M49" s="76">
        <f>(0.943+0.86+0.93)/3</f>
        <v>0.91100000000000003</v>
      </c>
      <c r="N49" s="76">
        <f>(0.947+0.9+0.917)/3</f>
        <v>0.92133333333333345</v>
      </c>
      <c r="O49" s="76">
        <f>(0.901+0.908+0.87)/3</f>
        <v>0.89300000000000013</v>
      </c>
      <c r="P49" s="76">
        <f>(0.94+0.93)/2</f>
        <v>0.93500000000000005</v>
      </c>
      <c r="Q49" s="76">
        <f>(0.89+0.92+0.89)/3</f>
        <v>0.9</v>
      </c>
      <c r="R49" s="76">
        <f>(0.867+0.89+0.89)/3</f>
        <v>0.88233333333333341</v>
      </c>
      <c r="S49" s="76">
        <f>(0.85+0.85+0.875)/3</f>
        <v>0.85833333333333339</v>
      </c>
      <c r="T49" s="76">
        <f>(0.83+0.73+0.79)/3</f>
        <v>0.78333333333333333</v>
      </c>
      <c r="U49" s="76">
        <f>(0.81+0.81+0.83)/3</f>
        <v>0.81666666666666676</v>
      </c>
      <c r="V49" s="76">
        <f>(0.88+0.83+0.84)/3</f>
        <v>0.85</v>
      </c>
      <c r="W49" s="76">
        <f>(0.83+0.82+0.85)/3</f>
        <v>0.83333333333333337</v>
      </c>
      <c r="X49" s="78"/>
    </row>
    <row r="50" spans="1:24" ht="54" customHeight="1" x14ac:dyDescent="0.2">
      <c r="A50" s="79" t="s">
        <v>121</v>
      </c>
      <c r="B50" s="43"/>
      <c r="C50" s="91" t="s">
        <v>155</v>
      </c>
      <c r="D50" s="170"/>
      <c r="E50" s="39" t="s">
        <v>58</v>
      </c>
      <c r="F50" s="40">
        <v>0.7</v>
      </c>
      <c r="G50" s="76">
        <f>(0.737+0.788+0.87)/3</f>
        <v>0.79833333333333334</v>
      </c>
      <c r="H50" s="76">
        <f>(0.949+0.775+0.841)/3</f>
        <v>0.85499999999999998</v>
      </c>
      <c r="I50" s="76">
        <f>(0.876+0.85+0.921)/3</f>
        <v>0.88233333333333341</v>
      </c>
      <c r="J50" s="76">
        <f>(0.898+0.745+0.9)/3</f>
        <v>0.84766666666666668</v>
      </c>
      <c r="K50" s="76">
        <f>(0.928+0.921+0.923)/3</f>
        <v>0.92400000000000004</v>
      </c>
      <c r="L50" s="76">
        <f>(0.973+0.983+0.891)/3</f>
        <v>0.94899999999999995</v>
      </c>
      <c r="M50" s="76">
        <f>(0.946+0.76+0.93)/3</f>
        <v>0.87866666666666671</v>
      </c>
      <c r="N50" s="76">
        <f>(0.947+0.78+0.74)/3</f>
        <v>0.82233333333333325</v>
      </c>
      <c r="O50" s="76">
        <f>(0.69+0.788+0.7)/3</f>
        <v>0.72599999999999998</v>
      </c>
      <c r="P50" s="76">
        <f>(0.9+0.87)/2</f>
        <v>0.88500000000000001</v>
      </c>
      <c r="Q50" s="76">
        <f>(0.82+0.83+0.86)/3</f>
        <v>0.83666666666666656</v>
      </c>
      <c r="R50" s="76">
        <f>(0.927+0.78+0.83)/3</f>
        <v>0.84566666666666668</v>
      </c>
      <c r="S50" s="76">
        <f>(0.78+0.9+0.869)/3</f>
        <v>0.84966666666666679</v>
      </c>
      <c r="T50" s="76">
        <f>(0.86+0.85+0.73)/3</f>
        <v>0.81333333333333335</v>
      </c>
      <c r="U50" s="76">
        <f>(0.77+0.74+0.71)/3</f>
        <v>0.73999999999999988</v>
      </c>
      <c r="V50" s="76">
        <f>(0.73+0.73+0.91)/3</f>
        <v>0.79</v>
      </c>
      <c r="W50" s="76">
        <f>(0.91+0.9+0.91)/3</f>
        <v>0.90666666666666673</v>
      </c>
      <c r="X50" s="114"/>
    </row>
    <row r="51" spans="1:24" ht="25.5" x14ac:dyDescent="0.2">
      <c r="A51" s="79" t="s">
        <v>122</v>
      </c>
      <c r="B51" s="43"/>
      <c r="C51" s="91" t="s">
        <v>170</v>
      </c>
      <c r="D51" s="170"/>
      <c r="E51" s="39" t="s">
        <v>59</v>
      </c>
      <c r="F51" s="40">
        <v>0.2</v>
      </c>
      <c r="G51" s="76">
        <f>(0.7+0.72)/2</f>
        <v>0.71</v>
      </c>
      <c r="H51" s="76">
        <f>(0.664+0.622+0.674)/3</f>
        <v>0.65333333333333332</v>
      </c>
      <c r="I51" s="76">
        <f>(0.703+0.69+0.691)/3</f>
        <v>0.69466666666666654</v>
      </c>
      <c r="J51" s="76">
        <f>(0.715+0.691+0.66)/3</f>
        <v>0.68866666666666665</v>
      </c>
      <c r="K51" s="76">
        <f>(0.628+0.531+0.638)/3</f>
        <v>0.59900000000000009</v>
      </c>
      <c r="L51" s="76">
        <f>(0.648+0.721+0.677)/3</f>
        <v>0.68200000000000005</v>
      </c>
      <c r="M51" s="76">
        <f>(0.729+0.75+0.72)/3</f>
        <v>0.73299999999999998</v>
      </c>
      <c r="N51" s="76">
        <f>(0.793+0.808+0.72)/3</f>
        <v>0.77366666666666661</v>
      </c>
      <c r="O51" s="76">
        <f>(0.6258+0.68+0.73)/3</f>
        <v>0.67859999999999998</v>
      </c>
      <c r="P51" s="76">
        <f>(0.77+0.83)/2</f>
        <v>0.8</v>
      </c>
      <c r="Q51" s="76">
        <f>(0.85+0.84+0.83)/3</f>
        <v>0.84</v>
      </c>
      <c r="R51" s="76">
        <f>(0.865+0.86+0.77)/3</f>
        <v>0.83166666666666667</v>
      </c>
      <c r="S51" s="76">
        <f>(0.67+0.7+0.77)/3</f>
        <v>0.71333333333333337</v>
      </c>
      <c r="T51" s="76">
        <f>(0.66+0.61+0.64)/3</f>
        <v>0.63666666666666671</v>
      </c>
      <c r="U51" s="76">
        <f>(0.68+0.74+0.76)/3</f>
        <v>0.72666666666666657</v>
      </c>
      <c r="V51" s="76">
        <f>(0.786+0.82+0.78)/3</f>
        <v>0.79533333333333334</v>
      </c>
      <c r="W51" s="76">
        <f>(0.78+0.75+0.75)/3</f>
        <v>0.76000000000000012</v>
      </c>
      <c r="X51" s="114"/>
    </row>
    <row r="52" spans="1:24" ht="13.5" thickBot="1" x14ac:dyDescent="0.25">
      <c r="A52" s="79" t="s">
        <v>123</v>
      </c>
      <c r="B52" s="43"/>
      <c r="C52" s="96" t="s">
        <v>171</v>
      </c>
      <c r="D52" s="170"/>
      <c r="E52" s="39" t="s">
        <v>59</v>
      </c>
      <c r="F52" s="41">
        <f>6770*0.8</f>
        <v>5416</v>
      </c>
      <c r="G52" s="113">
        <f>(3250+3600+3814)/3</f>
        <v>3554.6666666666665</v>
      </c>
      <c r="H52" s="108">
        <f>(3958+4100+4453)/3</f>
        <v>4170.333333333333</v>
      </c>
      <c r="I52" s="108">
        <f>(4811+4940+5005)/3</f>
        <v>4918.666666666667</v>
      </c>
      <c r="J52" s="108">
        <f>(5110+5270+5481)/3</f>
        <v>5287</v>
      </c>
      <c r="K52" s="108">
        <f>(5753+6104+6102)/3</f>
        <v>5986.333333333333</v>
      </c>
      <c r="L52" s="108">
        <f>(6723+7246+7430)/3</f>
        <v>7133</v>
      </c>
      <c r="M52" s="108">
        <f>(8294+8860+9200)/3</f>
        <v>8784.6666666666661</v>
      </c>
      <c r="N52" s="108">
        <f>(9124+9040+9140)/3</f>
        <v>9101.3333333333339</v>
      </c>
      <c r="O52" s="108">
        <f>(9200+9275+9375)/3</f>
        <v>9283.3333333333339</v>
      </c>
      <c r="P52" s="108">
        <f>(9757+9925+9880)/3</f>
        <v>9854</v>
      </c>
      <c r="Q52" s="108">
        <f>(9780+9870+10150)/3</f>
        <v>9933.3333333333339</v>
      </c>
      <c r="R52" s="108">
        <f>(10300+10600+10800)/3</f>
        <v>10566.666666666666</v>
      </c>
      <c r="S52" s="108">
        <f>(10900+11600)/2</f>
        <v>11250</v>
      </c>
      <c r="T52" s="108">
        <f>(11300+11600+11500)/3</f>
        <v>11466.666666666666</v>
      </c>
      <c r="U52" s="108">
        <f>(11300+11340+11160)/3</f>
        <v>11266.666666666666</v>
      </c>
      <c r="V52" s="108">
        <f>(11158+10450+10200)/3</f>
        <v>10602.666666666666</v>
      </c>
      <c r="W52" s="108">
        <f>(10400+10670+10860)/3</f>
        <v>10643.333333333334</v>
      </c>
      <c r="X52" s="78"/>
    </row>
    <row r="53" spans="1:24" x14ac:dyDescent="0.2">
      <c r="G53" s="67"/>
      <c r="H53" s="67"/>
      <c r="I53" s="67"/>
      <c r="J53" s="67"/>
    </row>
    <row r="58" spans="1:24" x14ac:dyDescent="0.2">
      <c r="G58" s="68"/>
      <c r="H58" s="68"/>
    </row>
  </sheetData>
  <phoneticPr fontId="0" type="noConversion"/>
  <pageMargins left="0.75" right="0.75" top="1" bottom="1" header="0.5" footer="0.5"/>
  <pageSetup orientation="portrait" r:id="rId1"/>
  <headerFooter alignWithMargins="0"/>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G35"/>
  <sheetViews>
    <sheetView zoomScale="90" zoomScaleNormal="90" zoomScalePageLayoutView="90" workbookViewId="0">
      <pane ySplit="8" topLeftCell="A9" activePane="bottomLeft" state="frozen"/>
      <selection pane="bottomLeft" activeCell="G25" sqref="G25"/>
    </sheetView>
  </sheetViews>
  <sheetFormatPr defaultColWidth="8.85546875" defaultRowHeight="12.75" x14ac:dyDescent="0.2"/>
  <cols>
    <col min="1" max="1" width="13.42578125" customWidth="1"/>
    <col min="2" max="2" width="37.42578125" customWidth="1"/>
    <col min="3" max="3" width="19.7109375" customWidth="1"/>
    <col min="4" max="4" width="10.28515625" customWidth="1"/>
    <col min="5" max="5" width="9.85546875" customWidth="1"/>
    <col min="6" max="6" width="21.7109375" customWidth="1"/>
    <col min="7" max="7" width="63" customWidth="1"/>
  </cols>
  <sheetData>
    <row r="1" spans="1:7" ht="13.5" thickBot="1" x14ac:dyDescent="0.25"/>
    <row r="2" spans="1:7" ht="13.5" thickBot="1" x14ac:dyDescent="0.25">
      <c r="A2" s="6" t="s">
        <v>24</v>
      </c>
      <c r="B2" s="9"/>
      <c r="D2" s="11"/>
      <c r="E2" s="12" t="s">
        <v>42</v>
      </c>
      <c r="F2" s="55"/>
      <c r="G2" s="65" t="s">
        <v>80</v>
      </c>
    </row>
    <row r="3" spans="1:7" x14ac:dyDescent="0.2">
      <c r="A3" s="10" t="s">
        <v>28</v>
      </c>
      <c r="B3" s="21" t="str">
        <f>Metrics!B3</f>
        <v>Tier-1</v>
      </c>
      <c r="D3" s="13"/>
      <c r="E3" s="14" t="s">
        <v>39</v>
      </c>
      <c r="F3" s="33"/>
      <c r="G3" t="s">
        <v>4</v>
      </c>
    </row>
    <row r="4" spans="1:7" x14ac:dyDescent="0.2">
      <c r="A4" s="4" t="s">
        <v>25</v>
      </c>
      <c r="B4" s="19" t="str">
        <f>Metrics!B4</f>
        <v>Q215</v>
      </c>
      <c r="D4" s="15"/>
      <c r="E4" s="14" t="s">
        <v>40</v>
      </c>
      <c r="F4" s="54"/>
      <c r="G4" t="s">
        <v>3</v>
      </c>
    </row>
    <row r="5" spans="1:7" ht="13.5" thickBot="1" x14ac:dyDescent="0.25">
      <c r="A5" s="5" t="s">
        <v>29</v>
      </c>
      <c r="B5" s="20" t="str">
        <f>Metrics!B5</f>
        <v>Andrew Sansum</v>
      </c>
      <c r="D5" s="16"/>
      <c r="E5" s="17" t="s">
        <v>34</v>
      </c>
      <c r="F5" s="66"/>
      <c r="G5" t="s">
        <v>0</v>
      </c>
    </row>
    <row r="6" spans="1:7" x14ac:dyDescent="0.2">
      <c r="A6" s="29" t="s">
        <v>63</v>
      </c>
    </row>
    <row r="7" spans="1:7" ht="13.5" thickBot="1" x14ac:dyDescent="0.25"/>
    <row r="8" spans="1:7" ht="20.100000000000001" customHeight="1" thickBot="1" x14ac:dyDescent="0.25">
      <c r="A8" s="7" t="s">
        <v>35</v>
      </c>
      <c r="B8" s="7" t="s">
        <v>27</v>
      </c>
      <c r="C8" s="7" t="s">
        <v>26</v>
      </c>
      <c r="D8" s="7" t="s">
        <v>36</v>
      </c>
      <c r="E8" s="7" t="s">
        <v>37</v>
      </c>
      <c r="F8" s="7" t="s">
        <v>38</v>
      </c>
      <c r="G8" s="7" t="s">
        <v>33</v>
      </c>
    </row>
    <row r="9" spans="1:7" s="30" customFormat="1" x14ac:dyDescent="0.2">
      <c r="A9" s="224" t="s">
        <v>156</v>
      </c>
      <c r="B9" s="225" t="s">
        <v>265</v>
      </c>
      <c r="C9" s="226" t="s">
        <v>54</v>
      </c>
      <c r="D9" s="227">
        <v>42278</v>
      </c>
      <c r="E9" s="228"/>
      <c r="F9" s="220"/>
      <c r="G9" s="221"/>
    </row>
    <row r="10" spans="1:7" x14ac:dyDescent="0.2">
      <c r="A10" s="230" t="s">
        <v>157</v>
      </c>
      <c r="B10" s="231" t="s">
        <v>182</v>
      </c>
      <c r="C10" s="231" t="s">
        <v>54</v>
      </c>
      <c r="D10" s="232">
        <v>42156</v>
      </c>
      <c r="E10" s="229"/>
      <c r="F10" s="222"/>
      <c r="G10" s="223"/>
    </row>
    <row r="14" spans="1:7" x14ac:dyDescent="0.2">
      <c r="A14" s="233" t="s">
        <v>158</v>
      </c>
      <c r="B14" s="38" t="s">
        <v>163</v>
      </c>
      <c r="C14" s="38" t="s">
        <v>54</v>
      </c>
      <c r="D14" s="234">
        <v>42430</v>
      </c>
      <c r="E14" s="38"/>
      <c r="F14" s="38"/>
      <c r="G14" s="38"/>
    </row>
    <row r="15" spans="1:7" x14ac:dyDescent="0.2">
      <c r="A15" s="233" t="s">
        <v>159</v>
      </c>
      <c r="B15" s="38" t="s">
        <v>164</v>
      </c>
      <c r="C15" s="38" t="s">
        <v>54</v>
      </c>
      <c r="D15" s="234">
        <v>42522</v>
      </c>
      <c r="E15" s="38"/>
      <c r="F15" s="38"/>
      <c r="G15" s="38"/>
    </row>
    <row r="16" spans="1:7" x14ac:dyDescent="0.2">
      <c r="A16" s="233" t="s">
        <v>160</v>
      </c>
      <c r="B16" s="38" t="s">
        <v>215</v>
      </c>
      <c r="C16" s="38" t="s">
        <v>54</v>
      </c>
      <c r="D16" s="234">
        <v>42095</v>
      </c>
      <c r="E16" s="235"/>
      <c r="F16" s="38"/>
      <c r="G16" s="233" t="s">
        <v>267</v>
      </c>
    </row>
    <row r="17" spans="1:7" s="30" customFormat="1" x14ac:dyDescent="0.2">
      <c r="A17" s="233" t="s">
        <v>161</v>
      </c>
      <c r="B17" s="38" t="s">
        <v>266</v>
      </c>
      <c r="C17" s="38" t="s">
        <v>54</v>
      </c>
      <c r="D17" s="234">
        <v>42248</v>
      </c>
      <c r="E17" s="236"/>
      <c r="F17" s="236"/>
      <c r="G17" s="236"/>
    </row>
    <row r="18" spans="1:7" s="30" customFormat="1" x14ac:dyDescent="0.2">
      <c r="A18" s="233" t="s">
        <v>162</v>
      </c>
      <c r="B18" s="38" t="s">
        <v>204</v>
      </c>
      <c r="C18" s="38" t="s">
        <v>54</v>
      </c>
      <c r="D18" s="234">
        <v>42430</v>
      </c>
      <c r="E18" s="236"/>
      <c r="F18" s="236"/>
      <c r="G18" s="236"/>
    </row>
    <row r="20" spans="1:7" ht="32.25" customHeight="1" x14ac:dyDescent="0.2"/>
    <row r="22" spans="1:7" s="30" customFormat="1" ht="42.75" customHeight="1" x14ac:dyDescent="0.2"/>
    <row r="23" spans="1:7" s="30" customFormat="1" ht="42.75" customHeight="1" x14ac:dyDescent="0.2"/>
    <row r="24" spans="1:7" s="30" customFormat="1" ht="128.25" customHeight="1" x14ac:dyDescent="0.2"/>
    <row r="25" spans="1:7" s="30" customFormat="1" ht="48.75" customHeight="1" x14ac:dyDescent="0.2"/>
    <row r="26" spans="1:7" s="30" customFormat="1" x14ac:dyDescent="0.2"/>
    <row r="27" spans="1:7" s="30" customFormat="1" x14ac:dyDescent="0.2"/>
    <row r="28" spans="1:7" s="30" customFormat="1" x14ac:dyDescent="0.2"/>
    <row r="29" spans="1:7" s="30" customFormat="1" ht="49.5" customHeight="1" x14ac:dyDescent="0.2"/>
    <row r="30" spans="1:7" s="30" customFormat="1" ht="35.1" customHeight="1" x14ac:dyDescent="0.2"/>
    <row r="31" spans="1:7" s="30" customFormat="1" x14ac:dyDescent="0.2"/>
    <row r="32" spans="1:7" s="30" customFormat="1" x14ac:dyDescent="0.2"/>
    <row r="33" s="30" customFormat="1" ht="21.95" customHeight="1" x14ac:dyDescent="0.2"/>
    <row r="34" s="30" customFormat="1" ht="24" customHeight="1" x14ac:dyDescent="0.2"/>
    <row r="35" s="30" customFormat="1" ht="29.1" customHeight="1" x14ac:dyDescent="0.2"/>
  </sheetData>
  <phoneticPr fontId="0" type="noConversion"/>
  <pageMargins left="0.75" right="0.75" top="1" bottom="1" header="0.5" footer="0.5"/>
  <pageSetup paperSize="9"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90" zoomScaleNormal="90" zoomScalePageLayoutView="90" workbookViewId="0">
      <selection activeCell="B30" sqref="B30"/>
    </sheetView>
  </sheetViews>
  <sheetFormatPr defaultColWidth="8.85546875" defaultRowHeight="12.75" x14ac:dyDescent="0.2"/>
  <cols>
    <col min="1" max="1" width="15" customWidth="1"/>
    <col min="2" max="2" width="24.42578125" customWidth="1"/>
    <col min="3" max="3" width="22.140625" customWidth="1"/>
    <col min="11" max="11" width="50.140625" customWidth="1"/>
  </cols>
  <sheetData>
    <row r="1" spans="1:13" s="30" customFormat="1" ht="15.75" thickBot="1" x14ac:dyDescent="0.25">
      <c r="A1" s="117"/>
      <c r="B1" s="117"/>
      <c r="C1" s="117"/>
      <c r="D1" s="117"/>
      <c r="E1" s="117"/>
      <c r="F1" s="117"/>
      <c r="G1" s="117"/>
      <c r="H1" s="117"/>
      <c r="I1" s="117"/>
    </row>
    <row r="2" spans="1:13" s="30" customFormat="1" ht="16.5" thickBot="1" x14ac:dyDescent="0.3">
      <c r="A2" s="118" t="s">
        <v>24</v>
      </c>
      <c r="B2" s="119"/>
      <c r="C2" s="117"/>
      <c r="D2" s="117"/>
      <c r="E2" s="117"/>
      <c r="F2" s="117"/>
      <c r="G2" s="117"/>
      <c r="H2" s="117"/>
      <c r="I2" s="117"/>
    </row>
    <row r="3" spans="1:13" s="30" customFormat="1" ht="15.75" x14ac:dyDescent="0.25">
      <c r="A3" s="120" t="s">
        <v>28</v>
      </c>
      <c r="B3" s="121" t="s">
        <v>53</v>
      </c>
      <c r="C3" s="117"/>
      <c r="D3" s="117"/>
      <c r="E3" s="117"/>
      <c r="F3" s="117"/>
      <c r="G3" s="117"/>
      <c r="H3" s="117"/>
      <c r="I3" s="117"/>
    </row>
    <row r="4" spans="1:13" s="30" customFormat="1" ht="15.75" x14ac:dyDescent="0.25">
      <c r="A4" s="122" t="s">
        <v>25</v>
      </c>
      <c r="B4" s="19" t="s">
        <v>258</v>
      </c>
      <c r="C4" s="117"/>
      <c r="D4" s="117"/>
      <c r="E4" s="117"/>
      <c r="F4" s="117"/>
      <c r="G4" s="117"/>
      <c r="H4" s="117"/>
      <c r="I4" s="117"/>
    </row>
    <row r="5" spans="1:13" s="30" customFormat="1" ht="16.5" thickBot="1" x14ac:dyDescent="0.3">
      <c r="A5" s="123" t="s">
        <v>29</v>
      </c>
      <c r="B5" s="124" t="s">
        <v>54</v>
      </c>
      <c r="C5" s="117"/>
      <c r="D5" s="117"/>
      <c r="E5" s="117"/>
      <c r="F5" s="117"/>
      <c r="G5" s="117"/>
      <c r="H5" s="117"/>
      <c r="I5" s="117"/>
    </row>
    <row r="6" spans="1:13" s="30" customFormat="1" ht="15" x14ac:dyDescent="0.2">
      <c r="A6" s="117"/>
      <c r="B6" s="117"/>
      <c r="C6" s="117"/>
      <c r="D6" s="117"/>
      <c r="E6" s="117"/>
      <c r="F6" s="117"/>
      <c r="G6" s="117"/>
      <c r="H6" s="117"/>
      <c r="I6" s="117"/>
    </row>
    <row r="7" spans="1:13" s="30" customFormat="1" ht="16.5" thickBot="1" x14ac:dyDescent="0.3">
      <c r="A7" s="125" t="s">
        <v>45</v>
      </c>
      <c r="B7" s="125"/>
      <c r="C7" s="125"/>
      <c r="D7" s="117"/>
      <c r="E7" s="117"/>
      <c r="F7" s="117"/>
      <c r="G7" s="117"/>
      <c r="H7" s="117"/>
      <c r="I7" s="117"/>
    </row>
    <row r="8" spans="1:13" s="30" customFormat="1" ht="13.5" customHeight="1" thickBot="1" x14ac:dyDescent="0.3">
      <c r="A8" s="126"/>
      <c r="B8" s="127"/>
      <c r="C8" s="128"/>
      <c r="D8" s="237" t="s">
        <v>6</v>
      </c>
      <c r="E8" s="238"/>
      <c r="F8" s="239"/>
      <c r="G8" s="238" t="s">
        <v>7</v>
      </c>
      <c r="H8" s="238"/>
      <c r="I8" s="239"/>
    </row>
    <row r="9" spans="1:13" s="30" customFormat="1" ht="32.25" thickBot="1" x14ac:dyDescent="0.3">
      <c r="A9" s="129" t="s">
        <v>22</v>
      </c>
      <c r="B9" s="130" t="s">
        <v>41</v>
      </c>
      <c r="C9" s="130" t="s">
        <v>78</v>
      </c>
      <c r="D9" s="131" t="s">
        <v>5</v>
      </c>
      <c r="E9" s="132" t="s">
        <v>8</v>
      </c>
      <c r="F9" s="133" t="s">
        <v>9</v>
      </c>
      <c r="G9" s="134" t="s">
        <v>5</v>
      </c>
      <c r="H9" s="132" t="s">
        <v>8</v>
      </c>
      <c r="I9" s="135" t="s">
        <v>9</v>
      </c>
    </row>
    <row r="10" spans="1:13" s="30" customFormat="1" ht="31.5" x14ac:dyDescent="0.25">
      <c r="A10" s="136" t="s">
        <v>53</v>
      </c>
      <c r="B10" s="137" t="s">
        <v>172</v>
      </c>
      <c r="C10" s="138" t="s">
        <v>221</v>
      </c>
      <c r="D10" s="190">
        <v>2.8</v>
      </c>
      <c r="E10" s="190">
        <v>2.8</v>
      </c>
      <c r="F10" s="190">
        <v>2.8</v>
      </c>
      <c r="G10" s="190">
        <v>0</v>
      </c>
      <c r="H10" s="191">
        <v>0</v>
      </c>
      <c r="I10" s="192">
        <v>0</v>
      </c>
      <c r="J10" s="149"/>
      <c r="K10" s="183"/>
      <c r="L10" s="77">
        <f>SUM(D10:I10)</f>
        <v>8.3999999999999986</v>
      </c>
      <c r="M10" s="77">
        <f>SUM(G10:I10)</f>
        <v>0</v>
      </c>
    </row>
    <row r="11" spans="1:13" s="30" customFormat="1" ht="47.25" x14ac:dyDescent="0.25">
      <c r="A11" s="139" t="s">
        <v>53</v>
      </c>
      <c r="B11" s="140" t="s">
        <v>173</v>
      </c>
      <c r="C11" s="141" t="s">
        <v>222</v>
      </c>
      <c r="D11" s="193">
        <v>5</v>
      </c>
      <c r="E11" s="193">
        <v>5</v>
      </c>
      <c r="F11" s="193">
        <v>4.8</v>
      </c>
      <c r="G11" s="193">
        <v>0.5</v>
      </c>
      <c r="H11" s="193">
        <v>0.5</v>
      </c>
      <c r="I11" s="193">
        <v>0.5</v>
      </c>
      <c r="J11" s="149"/>
      <c r="L11" s="77">
        <f>SUM(D11:I11)</f>
        <v>16.3</v>
      </c>
      <c r="M11" s="77">
        <f>SUM(G11:I11)</f>
        <v>1.5</v>
      </c>
    </row>
    <row r="12" spans="1:13" s="30" customFormat="1" ht="63" x14ac:dyDescent="0.25">
      <c r="A12" s="139" t="s">
        <v>53</v>
      </c>
      <c r="B12" s="140" t="s">
        <v>49</v>
      </c>
      <c r="C12" s="141" t="s">
        <v>223</v>
      </c>
      <c r="D12" s="194">
        <v>4.3</v>
      </c>
      <c r="E12" s="194">
        <v>4.3</v>
      </c>
      <c r="F12" s="194">
        <v>3.9</v>
      </c>
      <c r="G12" s="194">
        <v>0</v>
      </c>
      <c r="H12" s="194">
        <v>0</v>
      </c>
      <c r="I12" s="194">
        <v>0</v>
      </c>
      <c r="J12" s="149"/>
      <c r="L12" s="77">
        <f>SUM(D12:I12)</f>
        <v>12.5</v>
      </c>
      <c r="M12" s="77">
        <f>SUM(G12:I12)</f>
        <v>0</v>
      </c>
    </row>
    <row r="13" spans="1:13" s="30" customFormat="1" ht="31.5" x14ac:dyDescent="0.25">
      <c r="A13" s="139" t="s">
        <v>53</v>
      </c>
      <c r="B13" s="140" t="s">
        <v>174</v>
      </c>
      <c r="C13" s="141" t="s">
        <v>224</v>
      </c>
      <c r="D13" s="194">
        <v>2.29</v>
      </c>
      <c r="E13" s="194">
        <v>2.29</v>
      </c>
      <c r="F13" s="194">
        <v>2.29</v>
      </c>
      <c r="G13" s="194">
        <v>0</v>
      </c>
      <c r="H13" s="195">
        <v>0</v>
      </c>
      <c r="I13" s="196">
        <v>0</v>
      </c>
      <c r="J13" s="150"/>
      <c r="K13" s="30" t="s">
        <v>235</v>
      </c>
      <c r="L13" s="77">
        <f t="shared" ref="L13" si="0">SUM(D13:F13)</f>
        <v>6.87</v>
      </c>
    </row>
    <row r="14" spans="1:13" s="30" customFormat="1" ht="15.75" x14ac:dyDescent="0.25">
      <c r="A14" s="139" t="s">
        <v>53</v>
      </c>
      <c r="B14" s="140" t="s">
        <v>52</v>
      </c>
      <c r="C14" s="141" t="s">
        <v>79</v>
      </c>
      <c r="D14" s="194">
        <v>0.5</v>
      </c>
      <c r="E14" s="194">
        <v>0.5</v>
      </c>
      <c r="F14" s="194">
        <v>0.5</v>
      </c>
      <c r="G14" s="194">
        <v>0.4</v>
      </c>
      <c r="H14" s="194">
        <v>0.4</v>
      </c>
      <c r="I14" s="194">
        <v>0.4</v>
      </c>
      <c r="J14" s="150"/>
      <c r="K14" s="30" t="s">
        <v>236</v>
      </c>
      <c r="L14" s="77">
        <f>SUM(D14:I14)</f>
        <v>2.6999999999999997</v>
      </c>
      <c r="M14" s="77">
        <f>SUM(G14:I14)</f>
        <v>1.2000000000000002</v>
      </c>
    </row>
    <row r="15" spans="1:13" s="30" customFormat="1" ht="31.5" x14ac:dyDescent="0.25">
      <c r="A15" s="139" t="s">
        <v>53</v>
      </c>
      <c r="B15" s="140" t="s">
        <v>50</v>
      </c>
      <c r="C15" s="141" t="s">
        <v>205</v>
      </c>
      <c r="D15" s="194">
        <v>0.4</v>
      </c>
      <c r="E15" s="194">
        <v>0.4</v>
      </c>
      <c r="F15" s="194">
        <v>0.4</v>
      </c>
      <c r="G15" s="194">
        <v>0.9</v>
      </c>
      <c r="H15" s="194">
        <v>0.9</v>
      </c>
      <c r="I15" s="194">
        <v>0.9</v>
      </c>
      <c r="J15" s="150"/>
      <c r="K15" s="112"/>
      <c r="L15" s="77">
        <f>SUM(D15:I15)</f>
        <v>3.9</v>
      </c>
      <c r="M15" s="77">
        <f>SUM(G15:I15)</f>
        <v>2.7</v>
      </c>
    </row>
    <row r="16" spans="1:13" s="30" customFormat="1" ht="15.75" x14ac:dyDescent="0.25">
      <c r="A16" s="139" t="s">
        <v>53</v>
      </c>
      <c r="B16" s="140" t="s">
        <v>51</v>
      </c>
      <c r="C16" s="141"/>
      <c r="D16" s="194">
        <v>0</v>
      </c>
      <c r="E16" s="195">
        <v>0</v>
      </c>
      <c r="F16" s="197">
        <v>0</v>
      </c>
      <c r="G16" s="194">
        <v>0.5</v>
      </c>
      <c r="H16" s="195">
        <v>0.5</v>
      </c>
      <c r="I16" s="196">
        <v>0.5</v>
      </c>
      <c r="J16" s="150"/>
      <c r="L16" s="77">
        <f>SUM(D16:I16)</f>
        <v>1.5</v>
      </c>
      <c r="M16" s="77">
        <f>SUM(G16:I16)</f>
        <v>1.5</v>
      </c>
    </row>
    <row r="17" spans="1:14" s="30" customFormat="1" ht="32.25" thickBot="1" x14ac:dyDescent="0.3">
      <c r="A17" s="139" t="s">
        <v>53</v>
      </c>
      <c r="B17" s="140" t="s">
        <v>67</v>
      </c>
      <c r="C17" s="141" t="s">
        <v>186</v>
      </c>
      <c r="D17" s="198">
        <v>2.75</v>
      </c>
      <c r="E17" s="198">
        <v>2.75</v>
      </c>
      <c r="F17" s="198">
        <v>2.75</v>
      </c>
      <c r="G17" s="198">
        <v>0</v>
      </c>
      <c r="H17" s="198">
        <v>0</v>
      </c>
      <c r="I17" s="198">
        <v>0</v>
      </c>
      <c r="J17" s="150"/>
      <c r="L17" s="77">
        <f>SUM(D17:I17)</f>
        <v>8.25</v>
      </c>
      <c r="M17" s="77">
        <f>SUM(G17:I17)</f>
        <v>0</v>
      </c>
    </row>
    <row r="18" spans="1:14" s="30" customFormat="1" ht="16.5" thickBot="1" x14ac:dyDescent="0.3">
      <c r="A18" s="142" t="s">
        <v>23</v>
      </c>
      <c r="B18" s="143"/>
      <c r="C18" s="144"/>
      <c r="D18" s="145">
        <f>SUM(D10:D17)</f>
        <v>18.04</v>
      </c>
      <c r="E18" s="145">
        <f t="shared" ref="E18:H18" si="1">SUM(E10:E17)</f>
        <v>18.04</v>
      </c>
      <c r="F18" s="145">
        <f t="shared" si="1"/>
        <v>17.439999999999998</v>
      </c>
      <c r="G18" s="145">
        <f>SUM(G10:G17)</f>
        <v>2.2999999999999998</v>
      </c>
      <c r="H18" s="145">
        <f t="shared" si="1"/>
        <v>2.2999999999999998</v>
      </c>
      <c r="I18" s="145">
        <f>SUM(I10:I17)</f>
        <v>2.2999999999999998</v>
      </c>
      <c r="N18" s="77"/>
    </row>
    <row r="19" spans="1:14" ht="15" x14ac:dyDescent="0.2">
      <c r="A19" s="146"/>
      <c r="B19" s="146"/>
      <c r="C19" s="146"/>
      <c r="D19" s="147"/>
      <c r="E19" s="146"/>
      <c r="F19" s="146"/>
      <c r="G19" s="146"/>
      <c r="H19" s="146"/>
      <c r="I19" s="146"/>
    </row>
    <row r="20" spans="1:14" ht="15" x14ac:dyDescent="0.2">
      <c r="A20" s="146"/>
      <c r="B20" s="146"/>
      <c r="C20" s="146"/>
      <c r="D20" s="146"/>
      <c r="E20" s="146"/>
      <c r="F20" s="147"/>
      <c r="G20" s="146"/>
      <c r="H20" s="146"/>
      <c r="I20" s="146"/>
    </row>
    <row r="21" spans="1:14" ht="15" x14ac:dyDescent="0.2">
      <c r="A21" s="146"/>
      <c r="B21" s="146"/>
      <c r="C21" s="146"/>
      <c r="D21" s="146"/>
      <c r="E21" s="146"/>
      <c r="F21" s="146"/>
      <c r="G21" s="146"/>
      <c r="H21" s="146"/>
      <c r="I21" s="146"/>
    </row>
    <row r="22" spans="1:14" ht="15" x14ac:dyDescent="0.2">
      <c r="A22" s="146"/>
      <c r="B22" s="146"/>
      <c r="C22" s="146"/>
      <c r="D22" s="146"/>
      <c r="E22" s="146"/>
      <c r="F22" s="146"/>
      <c r="G22" s="146"/>
      <c r="H22" s="146"/>
      <c r="I22" s="146"/>
    </row>
    <row r="23" spans="1:14" ht="15" x14ac:dyDescent="0.2">
      <c r="A23" s="146"/>
      <c r="B23" s="146"/>
      <c r="C23" s="146"/>
      <c r="D23" s="146"/>
      <c r="E23" s="146"/>
      <c r="F23" s="146"/>
      <c r="G23" s="146"/>
      <c r="H23" s="146"/>
      <c r="I23" s="146"/>
    </row>
    <row r="24" spans="1:14" ht="15" x14ac:dyDescent="0.2">
      <c r="A24" s="148"/>
      <c r="B24" s="146"/>
      <c r="C24" s="146"/>
      <c r="D24" s="146"/>
      <c r="E24" s="146"/>
      <c r="F24" s="146"/>
      <c r="G24" s="146"/>
      <c r="H24" s="146"/>
      <c r="I24" s="146"/>
    </row>
    <row r="25" spans="1:14" ht="15" x14ac:dyDescent="0.2">
      <c r="A25" s="146"/>
      <c r="B25" s="146"/>
      <c r="C25" s="146"/>
      <c r="D25" s="146"/>
      <c r="E25" s="146"/>
      <c r="F25" s="146"/>
      <c r="G25" s="146"/>
      <c r="H25" s="146"/>
      <c r="I25" s="146"/>
    </row>
    <row r="26" spans="1:14" ht="15" x14ac:dyDescent="0.2">
      <c r="A26" s="146"/>
      <c r="B26" s="146"/>
      <c r="C26" s="146"/>
      <c r="D26" s="146"/>
      <c r="E26" s="146"/>
      <c r="F26" s="146"/>
      <c r="G26" s="146"/>
      <c r="H26" s="146"/>
      <c r="I26" s="146"/>
    </row>
    <row r="31" spans="1:14" x14ac:dyDescent="0.2">
      <c r="C31" s="112"/>
    </row>
  </sheetData>
  <mergeCells count="2">
    <mergeCell ref="D8:F8"/>
    <mergeCell ref="G8:I8"/>
  </mergeCells>
  <pageMargins left="0.74803149606299213" right="0.74803149606299213" top="0.98425196850393704" bottom="0.98425196850393704" header="0.51181102362204722" footer="0.51181102362204722"/>
  <pageSetup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D1" zoomScale="80" zoomScaleNormal="80" zoomScalePageLayoutView="90" workbookViewId="0">
      <selection activeCell="N18" sqref="N18"/>
    </sheetView>
  </sheetViews>
  <sheetFormatPr defaultColWidth="8.85546875" defaultRowHeight="12.75" x14ac:dyDescent="0.2"/>
  <cols>
    <col min="1" max="1" width="15" customWidth="1"/>
    <col min="2" max="4" width="24.42578125" customWidth="1"/>
    <col min="5" max="5" width="22.140625" customWidth="1"/>
    <col min="13" max="13" width="50.140625" customWidth="1"/>
  </cols>
  <sheetData>
    <row r="1" spans="1:15" s="30" customFormat="1" ht="15.75" thickBot="1" x14ac:dyDescent="0.25">
      <c r="A1" s="117"/>
      <c r="B1" s="117"/>
      <c r="C1" s="117"/>
      <c r="D1" s="117"/>
      <c r="E1" s="117"/>
      <c r="F1" s="117"/>
      <c r="G1" s="117"/>
      <c r="H1" s="117"/>
      <c r="I1" s="117"/>
      <c r="J1" s="117"/>
      <c r="K1" s="117"/>
    </row>
    <row r="2" spans="1:15" s="30" customFormat="1" ht="16.5" thickBot="1" x14ac:dyDescent="0.3">
      <c r="A2" s="118" t="s">
        <v>24</v>
      </c>
      <c r="B2" s="119"/>
      <c r="C2" s="118" t="s">
        <v>24</v>
      </c>
      <c r="D2" s="119"/>
      <c r="G2" s="117"/>
      <c r="H2" s="117"/>
      <c r="I2" s="117"/>
      <c r="J2" s="117"/>
      <c r="K2" s="117"/>
    </row>
    <row r="3" spans="1:15" s="30" customFormat="1" ht="15.75" x14ac:dyDescent="0.25">
      <c r="A3" s="120" t="s">
        <v>28</v>
      </c>
      <c r="B3" s="121" t="s">
        <v>53</v>
      </c>
      <c r="C3" s="120" t="s">
        <v>28</v>
      </c>
      <c r="D3" s="121" t="s">
        <v>53</v>
      </c>
      <c r="G3" s="117"/>
      <c r="H3" s="117"/>
      <c r="I3" s="117"/>
      <c r="J3" s="117"/>
      <c r="K3" s="117"/>
    </row>
    <row r="4" spans="1:15" s="30" customFormat="1" ht="15.75" x14ac:dyDescent="0.25">
      <c r="A4" s="122" t="s">
        <v>25</v>
      </c>
      <c r="B4" s="19" t="str">
        <f>Metrics!B4</f>
        <v>Q215</v>
      </c>
      <c r="C4" s="122" t="s">
        <v>25</v>
      </c>
      <c r="D4" s="19" t="str">
        <f>Metrics!B4</f>
        <v>Q215</v>
      </c>
      <c r="G4" s="117"/>
      <c r="H4" s="117"/>
      <c r="I4" s="117"/>
      <c r="J4" s="117"/>
      <c r="K4" s="117"/>
    </row>
    <row r="5" spans="1:15" s="30" customFormat="1" ht="16.5" thickBot="1" x14ac:dyDescent="0.3">
      <c r="A5" s="123" t="s">
        <v>29</v>
      </c>
      <c r="B5" s="124" t="s">
        <v>54</v>
      </c>
      <c r="C5" s="123" t="s">
        <v>29</v>
      </c>
      <c r="D5" s="124" t="s">
        <v>54</v>
      </c>
      <c r="G5" s="117"/>
      <c r="H5" s="117"/>
      <c r="I5" s="117"/>
      <c r="J5" s="117"/>
      <c r="K5" s="117"/>
    </row>
    <row r="6" spans="1:15" s="30" customFormat="1" ht="15" x14ac:dyDescent="0.2">
      <c r="A6" s="117"/>
      <c r="B6" s="117"/>
      <c r="C6" s="117"/>
      <c r="D6" s="117"/>
      <c r="E6" s="117"/>
      <c r="F6" s="117"/>
      <c r="G6" s="117"/>
      <c r="H6" s="117"/>
      <c r="I6" s="117"/>
      <c r="J6" s="117"/>
      <c r="K6" s="117"/>
    </row>
    <row r="7" spans="1:15" s="30" customFormat="1" ht="16.5" thickBot="1" x14ac:dyDescent="0.3">
      <c r="A7" s="125" t="s">
        <v>45</v>
      </c>
      <c r="B7" s="125"/>
      <c r="C7" s="125"/>
      <c r="D7" s="125"/>
      <c r="E7" s="125"/>
      <c r="F7" s="117"/>
      <c r="G7" s="117"/>
      <c r="H7" s="117"/>
      <c r="I7" s="117"/>
      <c r="J7" s="117"/>
      <c r="K7" s="117"/>
    </row>
    <row r="8" spans="1:15" s="30" customFormat="1" ht="13.5" customHeight="1" thickBot="1" x14ac:dyDescent="0.3">
      <c r="A8" s="126"/>
      <c r="B8" s="127"/>
      <c r="C8" s="127"/>
      <c r="D8" s="127"/>
      <c r="E8" s="128"/>
      <c r="F8" s="237" t="s">
        <v>6</v>
      </c>
      <c r="G8" s="238"/>
      <c r="H8" s="239"/>
      <c r="I8" s="238" t="s">
        <v>7</v>
      </c>
      <c r="J8" s="238"/>
      <c r="K8" s="239"/>
    </row>
    <row r="9" spans="1:15" s="30" customFormat="1" ht="32.25" thickBot="1" x14ac:dyDescent="0.3">
      <c r="A9" s="129" t="s">
        <v>22</v>
      </c>
      <c r="B9" s="130" t="s">
        <v>41</v>
      </c>
      <c r="C9" s="129" t="s">
        <v>22</v>
      </c>
      <c r="D9" s="130" t="s">
        <v>41</v>
      </c>
      <c r="E9" s="130" t="s">
        <v>78</v>
      </c>
      <c r="F9" s="131" t="s">
        <v>5</v>
      </c>
      <c r="G9" s="132" t="s">
        <v>8</v>
      </c>
      <c r="H9" s="133" t="s">
        <v>9</v>
      </c>
      <c r="I9" s="134" t="s">
        <v>5</v>
      </c>
      <c r="J9" s="132" t="s">
        <v>8</v>
      </c>
      <c r="K9" s="135" t="s">
        <v>9</v>
      </c>
    </row>
    <row r="10" spans="1:15" s="30" customFormat="1" ht="31.5" x14ac:dyDescent="0.25">
      <c r="A10" s="136" t="s">
        <v>53</v>
      </c>
      <c r="B10" s="137" t="s">
        <v>172</v>
      </c>
      <c r="C10" s="136" t="s">
        <v>53</v>
      </c>
      <c r="D10" s="137" t="s">
        <v>172</v>
      </c>
      <c r="E10" s="138" t="s">
        <v>259</v>
      </c>
      <c r="F10" s="190">
        <v>2.8</v>
      </c>
      <c r="G10" s="190">
        <v>2.8</v>
      </c>
      <c r="H10" s="190">
        <v>3.3</v>
      </c>
      <c r="I10" s="190"/>
      <c r="J10" s="191"/>
      <c r="K10" s="192"/>
      <c r="L10" s="149" t="s">
        <v>260</v>
      </c>
      <c r="M10" s="183"/>
      <c r="N10" s="77">
        <f>SUM(F10:H10)</f>
        <v>8.8999999999999986</v>
      </c>
      <c r="O10" s="77">
        <f>SUM(I10:K10)</f>
        <v>0</v>
      </c>
    </row>
    <row r="11" spans="1:15" s="30" customFormat="1" ht="63" x14ac:dyDescent="0.25">
      <c r="A11" s="139" t="s">
        <v>53</v>
      </c>
      <c r="B11" s="140" t="s">
        <v>173</v>
      </c>
      <c r="C11" s="139" t="s">
        <v>53</v>
      </c>
      <c r="D11" s="140" t="s">
        <v>173</v>
      </c>
      <c r="E11" s="141" t="s">
        <v>262</v>
      </c>
      <c r="F11" s="193">
        <v>5.4</v>
      </c>
      <c r="G11" s="193">
        <v>5.4</v>
      </c>
      <c r="H11" s="193">
        <v>5.4</v>
      </c>
      <c r="I11" s="193">
        <v>0.4</v>
      </c>
      <c r="J11" s="193">
        <v>0.4</v>
      </c>
      <c r="K11" s="193">
        <v>0.4</v>
      </c>
      <c r="L11" s="149"/>
      <c r="N11" s="77">
        <f>SUM(F11:H11)</f>
        <v>16.200000000000003</v>
      </c>
      <c r="O11" s="77">
        <f>SUM(I11:K11)</f>
        <v>1.2000000000000002</v>
      </c>
    </row>
    <row r="12" spans="1:15" s="30" customFormat="1" ht="78.75" x14ac:dyDescent="0.25">
      <c r="A12" s="139" t="s">
        <v>53</v>
      </c>
      <c r="B12" s="140" t="s">
        <v>49</v>
      </c>
      <c r="C12" s="139" t="s">
        <v>53</v>
      </c>
      <c r="D12" s="140" t="s">
        <v>49</v>
      </c>
      <c r="E12" s="141" t="s">
        <v>264</v>
      </c>
      <c r="F12" s="194">
        <v>4.96</v>
      </c>
      <c r="G12" s="194">
        <v>4.96</v>
      </c>
      <c r="H12" s="194">
        <v>4.96</v>
      </c>
      <c r="I12" s="194" t="s">
        <v>231</v>
      </c>
      <c r="J12" s="194" t="s">
        <v>231</v>
      </c>
      <c r="K12" s="194" t="s">
        <v>231</v>
      </c>
      <c r="L12" s="149" t="s">
        <v>263</v>
      </c>
      <c r="N12" s="77">
        <f>SUM(F12:H12)</f>
        <v>14.879999999999999</v>
      </c>
      <c r="O12" s="77">
        <f>SUM(I12:K12)</f>
        <v>0</v>
      </c>
    </row>
    <row r="13" spans="1:15" s="30" customFormat="1" ht="31.5" x14ac:dyDescent="0.25">
      <c r="A13" s="139" t="s">
        <v>53</v>
      </c>
      <c r="B13" s="140" t="s">
        <v>174</v>
      </c>
      <c r="C13" s="139" t="s">
        <v>53</v>
      </c>
      <c r="D13" s="140" t="s">
        <v>174</v>
      </c>
      <c r="E13" s="141" t="s">
        <v>224</v>
      </c>
      <c r="F13" s="194">
        <v>1.29</v>
      </c>
      <c r="G13" s="194">
        <v>1.29</v>
      </c>
      <c r="H13" s="194">
        <v>1.29</v>
      </c>
      <c r="I13" s="194"/>
      <c r="J13" s="195"/>
      <c r="K13" s="196"/>
      <c r="L13" s="150"/>
      <c r="N13" s="77">
        <f t="shared" ref="N13" si="0">SUM(F13:H13)</f>
        <v>3.87</v>
      </c>
    </row>
    <row r="14" spans="1:15" s="30" customFormat="1" ht="15.75" x14ac:dyDescent="0.25">
      <c r="A14" s="139" t="s">
        <v>53</v>
      </c>
      <c r="B14" s="140" t="s">
        <v>52</v>
      </c>
      <c r="C14" s="139" t="s">
        <v>53</v>
      </c>
      <c r="D14" s="140" t="s">
        <v>52</v>
      </c>
      <c r="E14" s="141" t="s">
        <v>79</v>
      </c>
      <c r="F14" s="194">
        <v>0.5</v>
      </c>
      <c r="G14" s="194">
        <v>0.5</v>
      </c>
      <c r="H14" s="194">
        <v>0.5</v>
      </c>
      <c r="I14" s="194"/>
      <c r="J14" s="194"/>
      <c r="K14" s="194"/>
      <c r="L14" s="150"/>
      <c r="N14" s="77">
        <f>SUM(F14:H14)</f>
        <v>1.5</v>
      </c>
      <c r="O14" s="77">
        <f>SUM(I14:K14)</f>
        <v>0</v>
      </c>
    </row>
    <row r="15" spans="1:15" s="30" customFormat="1" ht="47.25" x14ac:dyDescent="0.25">
      <c r="A15" s="139" t="s">
        <v>53</v>
      </c>
      <c r="B15" s="140" t="s">
        <v>50</v>
      </c>
      <c r="C15" s="139" t="s">
        <v>53</v>
      </c>
      <c r="D15" s="140" t="s">
        <v>50</v>
      </c>
      <c r="E15" s="141" t="s">
        <v>261</v>
      </c>
      <c r="F15" s="194">
        <v>0.4</v>
      </c>
      <c r="G15" s="194">
        <v>0.4</v>
      </c>
      <c r="H15" s="194">
        <v>0.4</v>
      </c>
      <c r="I15" s="194">
        <v>0.9</v>
      </c>
      <c r="J15" s="194">
        <v>0.9</v>
      </c>
      <c r="K15" s="194">
        <v>0.9</v>
      </c>
      <c r="L15" s="150"/>
      <c r="M15" s="112"/>
      <c r="N15" s="77">
        <f>SUM(F15:H15)</f>
        <v>1.2000000000000002</v>
      </c>
      <c r="O15" s="77">
        <f>SUM(I15:K15)</f>
        <v>2.7</v>
      </c>
    </row>
    <row r="16" spans="1:15" s="30" customFormat="1" ht="15.75" x14ac:dyDescent="0.25">
      <c r="A16" s="139" t="s">
        <v>53</v>
      </c>
      <c r="B16" s="140" t="s">
        <v>51</v>
      </c>
      <c r="C16" s="139" t="s">
        <v>53</v>
      </c>
      <c r="D16" s="140" t="s">
        <v>51</v>
      </c>
      <c r="E16" s="141"/>
      <c r="F16" s="194">
        <v>0</v>
      </c>
      <c r="G16" s="195">
        <v>0</v>
      </c>
      <c r="H16" s="197">
        <v>0</v>
      </c>
      <c r="I16" s="194">
        <v>0.5</v>
      </c>
      <c r="J16" s="195">
        <v>0.5</v>
      </c>
      <c r="K16" s="196">
        <v>0.5</v>
      </c>
      <c r="L16" s="150"/>
      <c r="N16" s="77">
        <f>SUM(F16:K16)</f>
        <v>1.5</v>
      </c>
      <c r="O16" s="77">
        <f>SUM(I16:K16)</f>
        <v>1.5</v>
      </c>
    </row>
    <row r="17" spans="1:16" s="30" customFormat="1" ht="32.25" thickBot="1" x14ac:dyDescent="0.3">
      <c r="A17" s="139" t="s">
        <v>53</v>
      </c>
      <c r="B17" s="140" t="s">
        <v>67</v>
      </c>
      <c r="C17" s="139" t="s">
        <v>53</v>
      </c>
      <c r="D17" s="140" t="s">
        <v>67</v>
      </c>
      <c r="E17" s="141" t="s">
        <v>186</v>
      </c>
      <c r="F17" s="198">
        <v>2.8</v>
      </c>
      <c r="G17" s="198">
        <v>2.8</v>
      </c>
      <c r="H17" s="198">
        <v>2.8</v>
      </c>
      <c r="I17" s="198"/>
      <c r="J17" s="198"/>
      <c r="K17" s="198"/>
      <c r="L17" s="150"/>
      <c r="N17" s="77">
        <f>SUM(F17:H17)</f>
        <v>8.3999999999999986</v>
      </c>
      <c r="O17" s="77">
        <f>SUM(I17:K17)</f>
        <v>0</v>
      </c>
    </row>
    <row r="18" spans="1:16" s="30" customFormat="1" ht="16.5" thickBot="1" x14ac:dyDescent="0.3">
      <c r="A18" s="142" t="s">
        <v>23</v>
      </c>
      <c r="B18" s="143"/>
      <c r="C18" s="143" t="s">
        <v>23</v>
      </c>
      <c r="D18" s="143"/>
      <c r="E18" s="144"/>
      <c r="F18" s="145">
        <f>SUM(F10:F17)</f>
        <v>18.149999999999999</v>
      </c>
      <c r="G18" s="145">
        <f t="shared" ref="G18:J18" si="1">SUM(G10:G17)</f>
        <v>18.149999999999999</v>
      </c>
      <c r="H18" s="145">
        <f t="shared" si="1"/>
        <v>18.649999999999999</v>
      </c>
      <c r="I18" s="145">
        <f>SUM(I10:I17)</f>
        <v>1.8</v>
      </c>
      <c r="J18" s="145">
        <f t="shared" si="1"/>
        <v>1.8</v>
      </c>
      <c r="K18" s="145">
        <f>SUM(K10:K17)</f>
        <v>1.8</v>
      </c>
      <c r="P18" s="77"/>
    </row>
    <row r="19" spans="1:16" ht="15" x14ac:dyDescent="0.2">
      <c r="A19" s="146"/>
      <c r="B19" s="146"/>
      <c r="C19" s="146"/>
      <c r="D19" s="146"/>
      <c r="E19" s="146"/>
      <c r="F19" s="147"/>
      <c r="G19" s="146"/>
      <c r="H19" s="146"/>
      <c r="I19" s="146"/>
      <c r="J19" s="146"/>
      <c r="K19" s="146"/>
    </row>
    <row r="20" spans="1:16" ht="15" x14ac:dyDescent="0.2">
      <c r="A20" s="146"/>
      <c r="B20" s="146"/>
      <c r="C20" s="146"/>
      <c r="D20" s="146"/>
      <c r="E20" s="146"/>
      <c r="F20" s="146"/>
      <c r="G20" s="146"/>
      <c r="H20" s="147"/>
      <c r="I20" s="146"/>
      <c r="J20" s="146"/>
      <c r="K20" s="146"/>
    </row>
    <row r="21" spans="1:16" ht="15" x14ac:dyDescent="0.2">
      <c r="A21" s="146"/>
      <c r="B21" s="146"/>
      <c r="C21" s="146"/>
      <c r="D21" s="146"/>
      <c r="E21" s="146"/>
      <c r="F21" s="146"/>
      <c r="G21" s="146"/>
      <c r="H21" s="146"/>
      <c r="I21" s="146"/>
      <c r="J21" s="146"/>
      <c r="K21" s="146"/>
    </row>
    <row r="22" spans="1:16" ht="15" x14ac:dyDescent="0.2">
      <c r="A22" s="146"/>
      <c r="B22" s="146"/>
      <c r="C22" s="146"/>
      <c r="D22" s="146"/>
      <c r="E22" s="146"/>
      <c r="F22" s="146"/>
      <c r="G22" s="146"/>
      <c r="H22" s="146"/>
      <c r="I22" s="146"/>
      <c r="J22" s="146"/>
      <c r="K22" s="146"/>
    </row>
    <row r="23" spans="1:16" ht="15" x14ac:dyDescent="0.2">
      <c r="A23" s="146"/>
      <c r="B23" s="146"/>
      <c r="C23" s="146"/>
      <c r="D23" s="146"/>
      <c r="E23" s="146"/>
      <c r="F23" s="146"/>
      <c r="G23" s="146"/>
      <c r="H23" s="146"/>
      <c r="I23" s="146"/>
      <c r="J23" s="146"/>
      <c r="K23" s="146"/>
    </row>
    <row r="24" spans="1:16" ht="15" x14ac:dyDescent="0.2">
      <c r="A24" s="148"/>
      <c r="B24" s="146"/>
      <c r="C24" s="146"/>
      <c r="D24" s="146"/>
      <c r="E24" s="146"/>
      <c r="F24" s="146"/>
      <c r="G24" s="146"/>
      <c r="H24" s="146"/>
      <c r="I24" s="146"/>
      <c r="J24" s="146"/>
      <c r="K24" s="146"/>
    </row>
    <row r="25" spans="1:16" ht="15" x14ac:dyDescent="0.2">
      <c r="A25" s="146"/>
      <c r="B25" s="146"/>
      <c r="C25" s="146"/>
      <c r="D25" s="146"/>
      <c r="E25" s="146"/>
      <c r="F25" s="146"/>
      <c r="G25" s="146"/>
      <c r="H25" s="146"/>
      <c r="I25" s="146"/>
      <c r="J25" s="146"/>
      <c r="K25" s="146"/>
    </row>
    <row r="26" spans="1:16" ht="15" x14ac:dyDescent="0.2">
      <c r="A26" s="146"/>
      <c r="B26" s="146"/>
      <c r="C26" s="146"/>
      <c r="D26" s="146"/>
      <c r="E26" s="146"/>
      <c r="F26" s="146"/>
      <c r="G26" s="146"/>
      <c r="H26" s="146"/>
      <c r="I26" s="146"/>
      <c r="J26" s="146"/>
      <c r="K26" s="146"/>
    </row>
    <row r="31" spans="1:16" x14ac:dyDescent="0.2">
      <c r="E31" s="112"/>
    </row>
  </sheetData>
  <mergeCells count="2">
    <mergeCell ref="F8:H8"/>
    <mergeCell ref="I8:K8"/>
  </mergeCells>
  <pageMargins left="0.74803149606299213" right="0.74803149606299213" top="0.98425196850393704" bottom="0.98425196850393704" header="0.51181102362204722" footer="0.51181102362204722"/>
  <pageSetup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pageSetUpPr fitToPage="1"/>
  </sheetPr>
  <dimension ref="A1:O58"/>
  <sheetViews>
    <sheetView topLeftCell="A20" zoomScale="90" zoomScaleNormal="90" zoomScalePageLayoutView="90" workbookViewId="0">
      <selection activeCell="G17" sqref="G17:K17"/>
    </sheetView>
  </sheetViews>
  <sheetFormatPr defaultColWidth="8.85546875" defaultRowHeight="12.75" x14ac:dyDescent="0.2"/>
  <cols>
    <col min="1" max="1" width="14.42578125" customWidth="1"/>
    <col min="2" max="2" width="22.85546875" customWidth="1"/>
  </cols>
  <sheetData>
    <row r="1" spans="1:11" ht="13.5" thickBot="1" x14ac:dyDescent="0.25"/>
    <row r="2" spans="1:11" ht="13.5" thickBot="1" x14ac:dyDescent="0.25">
      <c r="A2" s="6" t="s">
        <v>24</v>
      </c>
      <c r="B2" s="9"/>
    </row>
    <row r="3" spans="1:11" x14ac:dyDescent="0.2">
      <c r="A3" s="18" t="s">
        <v>28</v>
      </c>
      <c r="B3" s="22" t="str">
        <f>Metrics!B3</f>
        <v>Tier-1</v>
      </c>
    </row>
    <row r="4" spans="1:11" x14ac:dyDescent="0.2">
      <c r="A4" s="4" t="s">
        <v>25</v>
      </c>
      <c r="B4" s="19" t="str">
        <f>Metrics!B4</f>
        <v>Q215</v>
      </c>
    </row>
    <row r="5" spans="1:11" ht="13.5" thickBot="1" x14ac:dyDescent="0.25">
      <c r="A5" s="5" t="s">
        <v>29</v>
      </c>
      <c r="B5" s="20" t="str">
        <f>Metrics!B5</f>
        <v>Andrew Sansum</v>
      </c>
    </row>
    <row r="7" spans="1:11" ht="13.5" thickBot="1" x14ac:dyDescent="0.25">
      <c r="A7" s="1" t="s">
        <v>10</v>
      </c>
    </row>
    <row r="8" spans="1:11" ht="16.5" customHeight="1" thickBot="1" x14ac:dyDescent="0.25">
      <c r="A8" s="52" t="s">
        <v>41</v>
      </c>
      <c r="B8" s="298" t="s">
        <v>11</v>
      </c>
      <c r="C8" s="292"/>
      <c r="D8" s="292"/>
      <c r="E8" s="292"/>
      <c r="F8" s="293"/>
      <c r="G8" s="292" t="s">
        <v>12</v>
      </c>
      <c r="H8" s="292"/>
      <c r="I8" s="292"/>
      <c r="J8" s="292"/>
      <c r="K8" s="293"/>
    </row>
    <row r="9" spans="1:11" ht="122.25" customHeight="1" x14ac:dyDescent="0.2">
      <c r="A9" s="69" t="s">
        <v>64</v>
      </c>
      <c r="B9" s="294" t="s">
        <v>244</v>
      </c>
      <c r="C9" s="295"/>
      <c r="D9" s="295"/>
      <c r="E9" s="295"/>
      <c r="F9" s="295"/>
      <c r="G9" s="296"/>
      <c r="H9" s="296"/>
      <c r="I9" s="296"/>
      <c r="J9" s="296"/>
      <c r="K9" s="297"/>
    </row>
    <row r="10" spans="1:11" ht="217.5" customHeight="1" x14ac:dyDescent="0.2">
      <c r="A10" s="70" t="s">
        <v>52</v>
      </c>
      <c r="B10" s="263" t="s">
        <v>257</v>
      </c>
      <c r="C10" s="264"/>
      <c r="D10" s="264"/>
      <c r="E10" s="264"/>
      <c r="F10" s="264"/>
      <c r="G10" s="299" t="s">
        <v>250</v>
      </c>
      <c r="H10" s="299"/>
      <c r="I10" s="299"/>
      <c r="J10" s="299"/>
      <c r="K10" s="300"/>
    </row>
    <row r="11" spans="1:11" ht="131.25" customHeight="1" x14ac:dyDescent="0.2">
      <c r="A11" s="70" t="s">
        <v>48</v>
      </c>
      <c r="B11" s="263" t="s">
        <v>268</v>
      </c>
      <c r="C11" s="264"/>
      <c r="D11" s="264"/>
      <c r="E11" s="264"/>
      <c r="F11" s="264"/>
      <c r="G11" s="299"/>
      <c r="H11" s="299"/>
      <c r="I11" s="299"/>
      <c r="J11" s="299"/>
      <c r="K11" s="300"/>
    </row>
    <row r="12" spans="1:11" ht="194.25" customHeight="1" x14ac:dyDescent="0.2">
      <c r="A12" s="70" t="s">
        <v>66</v>
      </c>
      <c r="B12" s="263" t="s">
        <v>256</v>
      </c>
      <c r="C12" s="264"/>
      <c r="D12" s="264"/>
      <c r="E12" s="264"/>
      <c r="F12" s="264"/>
      <c r="G12" s="299"/>
      <c r="H12" s="299"/>
      <c r="I12" s="299"/>
      <c r="J12" s="299"/>
      <c r="K12" s="300"/>
    </row>
    <row r="13" spans="1:11" ht="243.75" customHeight="1" x14ac:dyDescent="0.2">
      <c r="A13" s="70" t="s">
        <v>65</v>
      </c>
      <c r="B13" s="263" t="s">
        <v>245</v>
      </c>
      <c r="C13" s="264"/>
      <c r="D13" s="264"/>
      <c r="E13" s="264"/>
      <c r="F13" s="264"/>
      <c r="G13" s="264" t="s">
        <v>243</v>
      </c>
      <c r="H13" s="264"/>
      <c r="I13" s="264"/>
      <c r="J13" s="264"/>
      <c r="K13" s="265"/>
    </row>
    <row r="14" spans="1:11" ht="129.75" customHeight="1" x14ac:dyDescent="0.2">
      <c r="A14" s="70" t="s">
        <v>81</v>
      </c>
      <c r="B14" s="263" t="s">
        <v>246</v>
      </c>
      <c r="C14" s="264"/>
      <c r="D14" s="264"/>
      <c r="E14" s="264"/>
      <c r="F14" s="264"/>
      <c r="G14" s="264"/>
      <c r="H14" s="264"/>
      <c r="I14" s="264"/>
      <c r="J14" s="264"/>
      <c r="K14" s="265"/>
    </row>
    <row r="15" spans="1:11" ht="134.25" customHeight="1" x14ac:dyDescent="0.2">
      <c r="A15" s="71" t="s">
        <v>76</v>
      </c>
      <c r="B15" s="263"/>
      <c r="C15" s="264"/>
      <c r="D15" s="264"/>
      <c r="E15" s="264"/>
      <c r="F15" s="264"/>
      <c r="G15" s="264"/>
      <c r="H15" s="264"/>
      <c r="I15" s="264"/>
      <c r="J15" s="264"/>
      <c r="K15" s="265"/>
    </row>
    <row r="16" spans="1:11" ht="212.25" customHeight="1" x14ac:dyDescent="0.2">
      <c r="A16" s="70" t="s">
        <v>1</v>
      </c>
      <c r="B16" s="263"/>
      <c r="C16" s="264"/>
      <c r="D16" s="264"/>
      <c r="E16" s="264"/>
      <c r="F16" s="264"/>
      <c r="G16" s="264"/>
      <c r="H16" s="264"/>
      <c r="I16" s="264"/>
      <c r="J16" s="264"/>
      <c r="K16" s="265"/>
    </row>
    <row r="17" spans="1:11" ht="158.25" customHeight="1" x14ac:dyDescent="0.2">
      <c r="A17" s="70" t="s">
        <v>51</v>
      </c>
      <c r="B17" s="263"/>
      <c r="C17" s="264"/>
      <c r="D17" s="264"/>
      <c r="E17" s="264"/>
      <c r="F17" s="264"/>
      <c r="G17" s="264" t="s">
        <v>247</v>
      </c>
      <c r="H17" s="264"/>
      <c r="I17" s="264"/>
      <c r="J17" s="264"/>
      <c r="K17" s="265"/>
    </row>
    <row r="18" spans="1:11" ht="146.25" customHeight="1" thickBot="1" x14ac:dyDescent="0.25">
      <c r="A18" s="72" t="s">
        <v>184</v>
      </c>
      <c r="B18" s="280" t="s">
        <v>241</v>
      </c>
      <c r="C18" s="278"/>
      <c r="D18" s="278"/>
      <c r="E18" s="278"/>
      <c r="F18" s="281"/>
      <c r="G18" s="277"/>
      <c r="H18" s="278"/>
      <c r="I18" s="278"/>
      <c r="J18" s="278"/>
      <c r="K18" s="279"/>
    </row>
    <row r="19" spans="1:11" ht="127.5" customHeight="1" thickBot="1" x14ac:dyDescent="0.25">
      <c r="A19" s="72" t="s">
        <v>185</v>
      </c>
      <c r="B19" s="280" t="s">
        <v>242</v>
      </c>
      <c r="C19" s="278"/>
      <c r="D19" s="278"/>
      <c r="E19" s="278"/>
      <c r="F19" s="281"/>
      <c r="G19" s="277" t="s">
        <v>231</v>
      </c>
      <c r="H19" s="278"/>
      <c r="I19" s="278"/>
      <c r="J19" s="278"/>
      <c r="K19" s="279"/>
    </row>
    <row r="20" spans="1:11" x14ac:dyDescent="0.2">
      <c r="A20" s="30" t="s">
        <v>15</v>
      </c>
      <c r="B20" s="30"/>
      <c r="C20" s="30"/>
      <c r="D20" s="30"/>
      <c r="E20" s="30"/>
      <c r="F20" s="30"/>
      <c r="G20" s="30"/>
      <c r="H20" s="30"/>
      <c r="I20" s="30"/>
      <c r="J20" s="30"/>
      <c r="K20" s="30"/>
    </row>
    <row r="21" spans="1:11" x14ac:dyDescent="0.2">
      <c r="A21" s="30"/>
      <c r="B21" s="30"/>
      <c r="C21" s="30"/>
      <c r="D21" s="30"/>
      <c r="E21" s="30"/>
      <c r="F21" s="30"/>
      <c r="G21" s="30"/>
      <c r="H21" s="30"/>
      <c r="I21" s="30"/>
      <c r="J21" s="30"/>
      <c r="K21" s="30"/>
    </row>
    <row r="22" spans="1:11" ht="13.5" thickBot="1" x14ac:dyDescent="0.25">
      <c r="A22" s="1" t="s">
        <v>13</v>
      </c>
    </row>
    <row r="23" spans="1:11" ht="13.5" thickBot="1" x14ac:dyDescent="0.25">
      <c r="A23" s="240" t="s">
        <v>14</v>
      </c>
      <c r="B23" s="241"/>
      <c r="C23" s="241"/>
      <c r="D23" s="241"/>
      <c r="E23" s="241"/>
      <c r="F23" s="241" t="s">
        <v>16</v>
      </c>
      <c r="G23" s="241"/>
      <c r="H23" s="241"/>
      <c r="I23" s="241"/>
      <c r="J23" s="243"/>
    </row>
    <row r="24" spans="1:11" ht="35.25" customHeight="1" x14ac:dyDescent="0.2">
      <c r="A24" s="274"/>
      <c r="B24" s="275"/>
      <c r="C24" s="275"/>
      <c r="D24" s="275"/>
      <c r="E24" s="276"/>
      <c r="F24" s="271"/>
      <c r="G24" s="272"/>
      <c r="H24" s="272"/>
      <c r="I24" s="272"/>
      <c r="J24" s="273"/>
    </row>
    <row r="25" spans="1:11" ht="13.5" thickBot="1" x14ac:dyDescent="0.25">
      <c r="A25" s="268"/>
      <c r="B25" s="269"/>
      <c r="C25" s="269"/>
      <c r="D25" s="269"/>
      <c r="E25" s="270"/>
      <c r="F25" s="266"/>
      <c r="G25" s="266"/>
      <c r="H25" s="266"/>
      <c r="I25" s="266"/>
      <c r="J25" s="267"/>
    </row>
    <row r="27" spans="1:11" ht="13.5" thickBot="1" x14ac:dyDescent="0.25">
      <c r="A27" s="1" t="s">
        <v>43</v>
      </c>
    </row>
    <row r="28" spans="1:11" ht="13.5" thickBot="1" x14ac:dyDescent="0.25">
      <c r="A28" s="240" t="s">
        <v>14</v>
      </c>
      <c r="B28" s="241"/>
      <c r="C28" s="241"/>
      <c r="D28" s="241"/>
      <c r="E28" s="241"/>
      <c r="F28" s="241" t="s">
        <v>16</v>
      </c>
      <c r="G28" s="241"/>
      <c r="H28" s="241"/>
      <c r="I28" s="241"/>
      <c r="J28" s="243"/>
    </row>
    <row r="29" spans="1:11" ht="86.25" customHeight="1" thickBot="1" x14ac:dyDescent="0.25">
      <c r="A29" s="248" t="s">
        <v>218</v>
      </c>
      <c r="B29" s="249"/>
      <c r="C29" s="249"/>
      <c r="D29" s="249"/>
      <c r="E29" s="249"/>
      <c r="F29" s="250" t="s">
        <v>229</v>
      </c>
      <c r="G29" s="251"/>
      <c r="H29" s="251"/>
      <c r="I29" s="251"/>
      <c r="J29" s="252"/>
    </row>
    <row r="30" spans="1:11" ht="135" customHeight="1" thickBot="1" x14ac:dyDescent="0.25">
      <c r="A30" s="248" t="s">
        <v>230</v>
      </c>
      <c r="B30" s="249"/>
      <c r="C30" s="249"/>
      <c r="D30" s="249"/>
      <c r="E30" s="249"/>
      <c r="F30" s="250" t="s">
        <v>217</v>
      </c>
      <c r="G30" s="251"/>
      <c r="H30" s="251"/>
      <c r="I30" s="251"/>
      <c r="J30" s="252"/>
    </row>
    <row r="31" spans="1:11" ht="100.5" customHeight="1" thickBot="1" x14ac:dyDescent="0.25">
      <c r="A31" s="253" t="s">
        <v>232</v>
      </c>
      <c r="B31" s="254"/>
      <c r="C31" s="254"/>
      <c r="D31" s="254"/>
      <c r="E31" s="255"/>
      <c r="F31" s="256" t="s">
        <v>233</v>
      </c>
      <c r="G31" s="254"/>
      <c r="H31" s="254"/>
      <c r="I31" s="254"/>
      <c r="J31" s="257"/>
    </row>
    <row r="33" spans="1:15" ht="13.5" thickBot="1" x14ac:dyDescent="0.25">
      <c r="A33" s="1" t="s">
        <v>17</v>
      </c>
    </row>
    <row r="34" spans="1:15" ht="13.5" thickBot="1" x14ac:dyDescent="0.25">
      <c r="A34" s="240" t="s">
        <v>18</v>
      </c>
      <c r="B34" s="241"/>
      <c r="C34" s="241"/>
      <c r="D34" s="241"/>
      <c r="E34" s="241"/>
      <c r="F34" s="242" t="s">
        <v>19</v>
      </c>
      <c r="G34" s="258"/>
      <c r="H34" s="242" t="s">
        <v>20</v>
      </c>
      <c r="I34" s="241"/>
      <c r="J34" s="241"/>
      <c r="K34" s="241"/>
      <c r="L34" s="243"/>
    </row>
    <row r="35" spans="1:15" ht="64.5" customHeight="1" thickBot="1" x14ac:dyDescent="0.25">
      <c r="A35" s="244" t="s">
        <v>251</v>
      </c>
      <c r="B35" s="245"/>
      <c r="C35" s="245"/>
      <c r="D35" s="245"/>
      <c r="E35" s="245"/>
      <c r="F35" s="246">
        <v>42185</v>
      </c>
      <c r="G35" s="247"/>
      <c r="H35" s="260" t="s">
        <v>252</v>
      </c>
      <c r="I35" s="261"/>
      <c r="J35" s="261"/>
      <c r="K35" s="261"/>
      <c r="L35" s="262"/>
    </row>
    <row r="36" spans="1:15" ht="64.5" customHeight="1" thickBot="1" x14ac:dyDescent="0.25">
      <c r="A36" s="244" t="s">
        <v>253</v>
      </c>
      <c r="B36" s="245"/>
      <c r="C36" s="245"/>
      <c r="D36" s="245"/>
      <c r="E36" s="245"/>
      <c r="F36" s="246">
        <v>42094</v>
      </c>
      <c r="G36" s="247"/>
      <c r="H36" s="260"/>
      <c r="I36" s="261"/>
      <c r="J36" s="261"/>
      <c r="K36" s="261"/>
      <c r="L36" s="262"/>
    </row>
    <row r="37" spans="1:15" ht="42.75" customHeight="1" thickBot="1" x14ac:dyDescent="0.25">
      <c r="A37" s="244" t="s">
        <v>254</v>
      </c>
      <c r="B37" s="245"/>
      <c r="C37" s="245"/>
      <c r="D37" s="245"/>
      <c r="E37" s="245"/>
      <c r="F37" s="259">
        <v>42094</v>
      </c>
      <c r="G37" s="247"/>
      <c r="H37" s="260" t="s">
        <v>255</v>
      </c>
      <c r="I37" s="261"/>
      <c r="J37" s="261"/>
      <c r="K37" s="261"/>
      <c r="L37" s="262"/>
    </row>
    <row r="38" spans="1:15" ht="42.75" customHeight="1" thickBot="1" x14ac:dyDescent="0.25">
      <c r="A38" s="244"/>
      <c r="B38" s="245"/>
      <c r="C38" s="245"/>
      <c r="D38" s="245"/>
      <c r="E38" s="245"/>
      <c r="F38" s="246"/>
      <c r="G38" s="247"/>
      <c r="H38" s="260"/>
      <c r="I38" s="261"/>
      <c r="J38" s="261"/>
      <c r="K38" s="261"/>
      <c r="L38" s="262"/>
    </row>
    <row r="39" spans="1:15" ht="42.75" customHeight="1" thickBot="1" x14ac:dyDescent="0.25">
      <c r="A39" s="324"/>
      <c r="B39" s="286"/>
      <c r="C39" s="286"/>
      <c r="D39" s="286"/>
      <c r="E39" s="286"/>
      <c r="F39" s="287"/>
      <c r="G39" s="288"/>
      <c r="H39" s="256"/>
      <c r="I39" s="316"/>
      <c r="J39" s="316"/>
      <c r="K39" s="316"/>
      <c r="L39" s="317"/>
    </row>
    <row r="40" spans="1:15" ht="12" customHeight="1" thickBot="1" x14ac:dyDescent="0.25">
      <c r="A40" s="61"/>
      <c r="B40" s="62"/>
      <c r="C40" s="62"/>
      <c r="D40" s="62"/>
      <c r="E40" s="63"/>
      <c r="F40" s="57"/>
      <c r="G40" s="56"/>
      <c r="H40" s="58"/>
      <c r="I40" s="59"/>
      <c r="J40" s="59"/>
      <c r="K40" s="59"/>
      <c r="L40" s="60"/>
    </row>
    <row r="41" spans="1:15" ht="24.75" customHeight="1" x14ac:dyDescent="0.2">
      <c r="O41" s="32"/>
    </row>
    <row r="42" spans="1:15" ht="24.75" customHeight="1" thickBot="1" x14ac:dyDescent="0.25">
      <c r="A42" s="1" t="s">
        <v>21</v>
      </c>
      <c r="O42" s="32"/>
    </row>
    <row r="43" spans="1:15" ht="24.75" customHeight="1" thickBot="1" x14ac:dyDescent="0.25">
      <c r="A43" s="240" t="s">
        <v>18</v>
      </c>
      <c r="B43" s="241"/>
      <c r="C43" s="241"/>
      <c r="D43" s="241"/>
      <c r="E43" s="241"/>
      <c r="F43" s="242" t="s">
        <v>19</v>
      </c>
      <c r="G43" s="258"/>
      <c r="H43" s="282" t="s">
        <v>75</v>
      </c>
      <c r="I43" s="283"/>
      <c r="J43" s="283"/>
      <c r="K43" s="283"/>
      <c r="L43" s="284"/>
      <c r="O43" s="32"/>
    </row>
    <row r="44" spans="1:15" ht="115.5" customHeight="1" thickBot="1" x14ac:dyDescent="0.25">
      <c r="A44" s="324" t="s">
        <v>225</v>
      </c>
      <c r="B44" s="286"/>
      <c r="C44" s="286"/>
      <c r="D44" s="286"/>
      <c r="E44" s="286"/>
      <c r="F44" s="287">
        <v>42064</v>
      </c>
      <c r="G44" s="288"/>
      <c r="H44" s="323" t="s">
        <v>226</v>
      </c>
      <c r="I44" s="254"/>
      <c r="J44" s="254"/>
      <c r="K44" s="254"/>
      <c r="L44" s="257"/>
    </row>
    <row r="45" spans="1:15" ht="115.5" customHeight="1" thickBot="1" x14ac:dyDescent="0.25">
      <c r="A45" s="324" t="s">
        <v>228</v>
      </c>
      <c r="B45" s="286"/>
      <c r="C45" s="286"/>
      <c r="D45" s="286"/>
      <c r="E45" s="286"/>
      <c r="F45" s="287">
        <v>42064</v>
      </c>
      <c r="G45" s="288"/>
      <c r="H45" s="256" t="s">
        <v>227</v>
      </c>
      <c r="I45" s="290"/>
      <c r="J45" s="290"/>
      <c r="K45" s="290"/>
      <c r="L45" s="291"/>
    </row>
    <row r="46" spans="1:15" ht="115.5" customHeight="1" thickBot="1" x14ac:dyDescent="0.25">
      <c r="A46" s="285"/>
      <c r="B46" s="286"/>
      <c r="C46" s="286"/>
      <c r="D46" s="286"/>
      <c r="E46" s="286"/>
      <c r="F46" s="287"/>
      <c r="G46" s="288"/>
      <c r="H46" s="289"/>
      <c r="I46" s="290"/>
      <c r="J46" s="290"/>
      <c r="K46" s="290"/>
      <c r="L46" s="291"/>
    </row>
    <row r="47" spans="1:15" ht="115.5" customHeight="1" thickBot="1" x14ac:dyDescent="0.25">
      <c r="A47" s="285"/>
      <c r="B47" s="286"/>
      <c r="C47" s="286"/>
      <c r="D47" s="286"/>
      <c r="E47" s="286"/>
      <c r="F47" s="287"/>
      <c r="G47" s="288"/>
      <c r="H47" s="289"/>
      <c r="I47" s="290"/>
      <c r="J47" s="290"/>
      <c r="K47" s="290"/>
      <c r="L47" s="291"/>
    </row>
    <row r="49" spans="1:15" ht="24.75" customHeight="1" thickBot="1" x14ac:dyDescent="0.25">
      <c r="A49" s="53" t="s">
        <v>70</v>
      </c>
      <c r="O49" s="32"/>
    </row>
    <row r="50" spans="1:15" ht="24.75" customHeight="1" thickBot="1" x14ac:dyDescent="0.25">
      <c r="A50" s="240" t="s">
        <v>18</v>
      </c>
      <c r="B50" s="241"/>
      <c r="C50" s="241"/>
      <c r="D50" s="241"/>
      <c r="E50" s="241"/>
      <c r="F50" s="282" t="s">
        <v>71</v>
      </c>
      <c r="G50" s="258"/>
      <c r="H50" s="307" t="s">
        <v>72</v>
      </c>
      <c r="I50" s="308"/>
      <c r="J50" s="282" t="s">
        <v>73</v>
      </c>
      <c r="K50" s="283"/>
      <c r="L50" s="283"/>
      <c r="M50" s="283"/>
      <c r="N50" s="284"/>
      <c r="O50" s="32"/>
    </row>
    <row r="51" spans="1:15" ht="38.25" customHeight="1" thickBot="1" x14ac:dyDescent="0.25">
      <c r="A51" s="253" t="s">
        <v>210</v>
      </c>
      <c r="B51" s="312"/>
      <c r="C51" s="312"/>
      <c r="D51" s="312"/>
      <c r="E51" s="313"/>
      <c r="F51" s="314">
        <v>41760</v>
      </c>
      <c r="G51" s="302"/>
      <c r="H51" s="315" t="s">
        <v>211</v>
      </c>
      <c r="I51" s="304"/>
      <c r="J51" s="256" t="s">
        <v>212</v>
      </c>
      <c r="K51" s="316"/>
      <c r="L51" s="316"/>
      <c r="M51" s="316"/>
      <c r="N51" s="317"/>
    </row>
    <row r="52" spans="1:15" ht="38.25" customHeight="1" x14ac:dyDescent="0.2">
      <c r="A52" s="248" t="s">
        <v>213</v>
      </c>
      <c r="B52" s="249"/>
      <c r="C52" s="249"/>
      <c r="D52" s="249"/>
      <c r="E52" s="249"/>
      <c r="F52" s="301">
        <v>41791</v>
      </c>
      <c r="G52" s="302"/>
      <c r="H52" s="303" t="s">
        <v>211</v>
      </c>
      <c r="I52" s="304"/>
      <c r="J52" s="250" t="s">
        <v>214</v>
      </c>
      <c r="K52" s="305"/>
      <c r="L52" s="305"/>
      <c r="M52" s="305"/>
      <c r="N52" s="306"/>
    </row>
    <row r="55" spans="1:15" ht="13.5" thickBot="1" x14ac:dyDescent="0.25">
      <c r="A55" s="318"/>
      <c r="B55" s="286"/>
      <c r="C55" s="286"/>
      <c r="D55" s="286"/>
      <c r="E55" s="286"/>
      <c r="F55" s="287"/>
      <c r="G55" s="288"/>
      <c r="H55" s="319"/>
      <c r="I55" s="320"/>
      <c r="J55" s="321"/>
      <c r="K55" s="269"/>
      <c r="L55" s="269"/>
      <c r="M55" s="269"/>
      <c r="N55" s="322"/>
    </row>
    <row r="56" spans="1:15" ht="13.5" thickBot="1" x14ac:dyDescent="0.25">
      <c r="A56" s="53" t="s">
        <v>74</v>
      </c>
    </row>
    <row r="57" spans="1:15" ht="13.5" thickBot="1" x14ac:dyDescent="0.25">
      <c r="A57" s="240" t="s">
        <v>18</v>
      </c>
      <c r="B57" s="241"/>
      <c r="C57" s="241"/>
      <c r="D57" s="241"/>
      <c r="E57" s="241"/>
      <c r="F57" s="242" t="s">
        <v>19</v>
      </c>
      <c r="G57" s="258"/>
      <c r="H57" s="242" t="s">
        <v>20</v>
      </c>
      <c r="I57" s="241"/>
      <c r="J57" s="241"/>
      <c r="K57" s="241"/>
      <c r="L57" s="243"/>
    </row>
    <row r="58" spans="1:15" ht="32.25" customHeight="1" x14ac:dyDescent="0.2">
      <c r="A58" s="309"/>
      <c r="B58" s="249"/>
      <c r="C58" s="249"/>
      <c r="D58" s="249"/>
      <c r="E58" s="249"/>
      <c r="F58" s="310"/>
      <c r="G58" s="302"/>
      <c r="H58" s="311"/>
      <c r="I58" s="305"/>
      <c r="J58" s="305"/>
      <c r="K58" s="305"/>
      <c r="L58" s="306"/>
    </row>
  </sheetData>
  <mergeCells count="93">
    <mergeCell ref="A43:E43"/>
    <mergeCell ref="F43:G43"/>
    <mergeCell ref="A38:E38"/>
    <mergeCell ref="F38:G38"/>
    <mergeCell ref="H38:L38"/>
    <mergeCell ref="A39:E39"/>
    <mergeCell ref="F39:G39"/>
    <mergeCell ref="H39:L39"/>
    <mergeCell ref="H46:L46"/>
    <mergeCell ref="H45:L45"/>
    <mergeCell ref="H44:L44"/>
    <mergeCell ref="A46:E46"/>
    <mergeCell ref="F46:G46"/>
    <mergeCell ref="A44:E44"/>
    <mergeCell ref="F44:G44"/>
    <mergeCell ref="A45:E45"/>
    <mergeCell ref="F45:G45"/>
    <mergeCell ref="A58:E58"/>
    <mergeCell ref="F58:G58"/>
    <mergeCell ref="H58:L58"/>
    <mergeCell ref="A51:E51"/>
    <mergeCell ref="F51:G51"/>
    <mergeCell ref="H51:I51"/>
    <mergeCell ref="J51:N51"/>
    <mergeCell ref="F55:G55"/>
    <mergeCell ref="A52:E52"/>
    <mergeCell ref="A57:E57"/>
    <mergeCell ref="F57:G57"/>
    <mergeCell ref="H57:L57"/>
    <mergeCell ref="A55:E55"/>
    <mergeCell ref="H55:I55"/>
    <mergeCell ref="J55:N55"/>
    <mergeCell ref="B13:F13"/>
    <mergeCell ref="B16:F16"/>
    <mergeCell ref="F52:G52"/>
    <mergeCell ref="B10:F10"/>
    <mergeCell ref="G10:K10"/>
    <mergeCell ref="G13:K13"/>
    <mergeCell ref="B11:F11"/>
    <mergeCell ref="G11:K11"/>
    <mergeCell ref="B12:F12"/>
    <mergeCell ref="H52:I52"/>
    <mergeCell ref="J52:N52"/>
    <mergeCell ref="H50:I50"/>
    <mergeCell ref="H43:L43"/>
    <mergeCell ref="B17:F17"/>
    <mergeCell ref="G17:K17"/>
    <mergeCell ref="A50:E50"/>
    <mergeCell ref="G8:K8"/>
    <mergeCell ref="B9:F9"/>
    <mergeCell ref="G9:K9"/>
    <mergeCell ref="B8:F8"/>
    <mergeCell ref="G12:K12"/>
    <mergeCell ref="J50:N50"/>
    <mergeCell ref="F50:G50"/>
    <mergeCell ref="A47:E47"/>
    <mergeCell ref="F47:G47"/>
    <mergeCell ref="H47:L47"/>
    <mergeCell ref="B14:F14"/>
    <mergeCell ref="G14:K14"/>
    <mergeCell ref="B15:F15"/>
    <mergeCell ref="G15:K15"/>
    <mergeCell ref="F25:J25"/>
    <mergeCell ref="A25:E25"/>
    <mergeCell ref="F24:J24"/>
    <mergeCell ref="F23:J23"/>
    <mergeCell ref="A23:E23"/>
    <mergeCell ref="G16:K16"/>
    <mergeCell ref="A24:E24"/>
    <mergeCell ref="G19:K19"/>
    <mergeCell ref="B19:F19"/>
    <mergeCell ref="B18:F18"/>
    <mergeCell ref="G18:K18"/>
    <mergeCell ref="A37:E37"/>
    <mergeCell ref="F37:G37"/>
    <mergeCell ref="H37:L37"/>
    <mergeCell ref="A35:E35"/>
    <mergeCell ref="F35:G35"/>
    <mergeCell ref="H35:L35"/>
    <mergeCell ref="H36:L36"/>
    <mergeCell ref="A34:E34"/>
    <mergeCell ref="H34:L34"/>
    <mergeCell ref="A36:E36"/>
    <mergeCell ref="F36:G36"/>
    <mergeCell ref="A28:E28"/>
    <mergeCell ref="F28:J28"/>
    <mergeCell ref="A29:E29"/>
    <mergeCell ref="F29:J29"/>
    <mergeCell ref="A30:E30"/>
    <mergeCell ref="F30:J30"/>
    <mergeCell ref="A31:E31"/>
    <mergeCell ref="F31:J31"/>
    <mergeCell ref="F34:G34"/>
  </mergeCells>
  <phoneticPr fontId="0" type="noConversion"/>
  <pageMargins left="0.74803149606299213" right="0.74803149606299213" top="0.98425196850393704" bottom="0.98425196850393704" header="0.51181102362204722" footer="0.51181102362204722"/>
  <pageSetup scale="56" fitToHeight="3" orientation="portrait" horizontalDpi="4294967292" verticalDpi="4294967292" r:id="rId1"/>
  <headerFooter alignWithMargins="0"/>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workbookViewId="0">
      <selection activeCell="B25" sqref="B25:F25"/>
    </sheetView>
  </sheetViews>
  <sheetFormatPr defaultColWidth="8.85546875" defaultRowHeight="12.75" x14ac:dyDescent="0.2"/>
  <sheetData>
    <row r="2" spans="2:13" ht="13.5" thickBot="1" x14ac:dyDescent="0.25">
      <c r="B2" s="1" t="s">
        <v>191</v>
      </c>
    </row>
    <row r="3" spans="2:13" ht="13.5" thickBot="1" x14ac:dyDescent="0.25">
      <c r="B3" s="240" t="s">
        <v>192</v>
      </c>
      <c r="C3" s="241"/>
      <c r="D3" s="241"/>
      <c r="E3" s="241"/>
      <c r="F3" s="241"/>
      <c r="G3" s="242" t="s">
        <v>193</v>
      </c>
      <c r="H3" s="258"/>
      <c r="I3" s="242" t="s">
        <v>190</v>
      </c>
      <c r="J3" s="241"/>
      <c r="K3" s="241"/>
      <c r="L3" s="241"/>
      <c r="M3" s="243"/>
    </row>
    <row r="4" spans="2:13" ht="13.5" thickBot="1" x14ac:dyDescent="0.25">
      <c r="B4" s="339"/>
      <c r="C4" s="340"/>
      <c r="D4" s="340"/>
      <c r="E4" s="340"/>
      <c r="F4" s="341"/>
      <c r="G4" s="342"/>
      <c r="H4" s="336"/>
      <c r="I4" s="337"/>
      <c r="J4" s="330"/>
      <c r="K4" s="330"/>
      <c r="L4" s="330"/>
      <c r="M4" s="338"/>
    </row>
    <row r="5" spans="2:13" ht="13.5" thickBot="1" x14ac:dyDescent="0.25">
      <c r="B5" s="325"/>
      <c r="C5" s="326"/>
      <c r="D5" s="326"/>
      <c r="E5" s="326"/>
      <c r="F5" s="326"/>
      <c r="G5" s="335"/>
      <c r="H5" s="336"/>
      <c r="I5" s="337"/>
      <c r="J5" s="330"/>
      <c r="K5" s="330"/>
      <c r="L5" s="330"/>
      <c r="M5" s="338"/>
    </row>
    <row r="6" spans="2:13" ht="13.5" thickBot="1" x14ac:dyDescent="0.25">
      <c r="B6" s="240" t="s">
        <v>194</v>
      </c>
      <c r="C6" s="241"/>
      <c r="D6" s="241"/>
      <c r="E6" s="241"/>
      <c r="F6" s="241"/>
      <c r="G6" s="242" t="s">
        <v>193</v>
      </c>
      <c r="H6" s="258"/>
      <c r="I6" s="242" t="s">
        <v>190</v>
      </c>
      <c r="J6" s="241"/>
      <c r="K6" s="241"/>
      <c r="L6" s="241"/>
      <c r="M6" s="243"/>
    </row>
    <row r="7" spans="2:13" x14ac:dyDescent="0.2">
      <c r="B7" s="329"/>
      <c r="C7" s="330"/>
      <c r="D7" s="330"/>
      <c r="E7" s="330"/>
      <c r="F7" s="330"/>
      <c r="G7" s="331"/>
      <c r="H7" s="330"/>
      <c r="I7" s="332"/>
      <c r="J7" s="333"/>
      <c r="K7" s="333"/>
      <c r="L7" s="333"/>
      <c r="M7" s="334"/>
    </row>
    <row r="8" spans="2:13" ht="13.5" thickBot="1" x14ac:dyDescent="0.25">
      <c r="B8" s="325"/>
      <c r="C8" s="326"/>
      <c r="D8" s="326"/>
      <c r="E8" s="326"/>
      <c r="F8" s="326"/>
      <c r="G8" s="327"/>
      <c r="H8" s="326"/>
      <c r="I8" s="326"/>
      <c r="J8" s="326"/>
      <c r="K8" s="326"/>
      <c r="L8" s="326"/>
      <c r="M8" s="328"/>
    </row>
    <row r="9" spans="2:13" ht="13.5" thickBot="1" x14ac:dyDescent="0.25">
      <c r="B9" s="240" t="s">
        <v>195</v>
      </c>
      <c r="C9" s="241"/>
      <c r="D9" s="241"/>
      <c r="E9" s="241"/>
      <c r="F9" s="241"/>
      <c r="G9" s="242" t="s">
        <v>193</v>
      </c>
      <c r="H9" s="258"/>
      <c r="I9" s="242" t="s">
        <v>190</v>
      </c>
      <c r="J9" s="241"/>
      <c r="K9" s="241"/>
      <c r="L9" s="241"/>
      <c r="M9" s="243"/>
    </row>
    <row r="10" spans="2:13" x14ac:dyDescent="0.2">
      <c r="B10" s="329"/>
      <c r="C10" s="330"/>
      <c r="D10" s="330"/>
      <c r="E10" s="330"/>
      <c r="F10" s="330"/>
      <c r="G10" s="331"/>
      <c r="H10" s="330"/>
      <c r="I10" s="332"/>
      <c r="J10" s="333"/>
      <c r="K10" s="333"/>
      <c r="L10" s="333"/>
      <c r="M10" s="334"/>
    </row>
    <row r="11" spans="2:13" ht="13.5" thickBot="1" x14ac:dyDescent="0.25">
      <c r="B11" s="325"/>
      <c r="C11" s="326"/>
      <c r="D11" s="326"/>
      <c r="E11" s="326"/>
      <c r="F11" s="326"/>
      <c r="G11" s="327"/>
      <c r="H11" s="326"/>
      <c r="I11" s="326"/>
      <c r="J11" s="326"/>
      <c r="K11" s="326"/>
      <c r="L11" s="326"/>
      <c r="M11" s="328"/>
    </row>
    <row r="12" spans="2:13" ht="13.5" thickBot="1" x14ac:dyDescent="0.25">
      <c r="B12" s="240" t="s">
        <v>196</v>
      </c>
      <c r="C12" s="241"/>
      <c r="D12" s="241"/>
      <c r="E12" s="241"/>
      <c r="F12" s="241"/>
      <c r="G12" s="242" t="s">
        <v>193</v>
      </c>
      <c r="H12" s="258"/>
      <c r="I12" s="242" t="s">
        <v>190</v>
      </c>
      <c r="J12" s="241"/>
      <c r="K12" s="241"/>
      <c r="L12" s="241"/>
      <c r="M12" s="243"/>
    </row>
    <row r="13" spans="2:13" x14ac:dyDescent="0.2">
      <c r="B13" s="329"/>
      <c r="C13" s="330"/>
      <c r="D13" s="330"/>
      <c r="E13" s="330"/>
      <c r="F13" s="330"/>
      <c r="G13" s="331"/>
      <c r="H13" s="330"/>
      <c r="I13" s="332"/>
      <c r="J13" s="333"/>
      <c r="K13" s="333"/>
      <c r="L13" s="333"/>
      <c r="M13" s="334"/>
    </row>
    <row r="14" spans="2:13" ht="13.5" thickBot="1" x14ac:dyDescent="0.25">
      <c r="B14" s="325"/>
      <c r="C14" s="326"/>
      <c r="D14" s="326"/>
      <c r="E14" s="326"/>
      <c r="F14" s="326"/>
      <c r="G14" s="327"/>
      <c r="H14" s="326"/>
      <c r="I14" s="326"/>
      <c r="J14" s="326"/>
      <c r="K14" s="326"/>
      <c r="L14" s="326"/>
      <c r="M14" s="328"/>
    </row>
    <row r="15" spans="2:13" ht="13.5" thickBot="1" x14ac:dyDescent="0.25">
      <c r="B15" s="240" t="s">
        <v>197</v>
      </c>
      <c r="C15" s="241"/>
      <c r="D15" s="241"/>
      <c r="E15" s="241"/>
      <c r="F15" s="241"/>
      <c r="G15" s="242" t="s">
        <v>193</v>
      </c>
      <c r="H15" s="258"/>
      <c r="I15" s="242" t="s">
        <v>190</v>
      </c>
      <c r="J15" s="241"/>
      <c r="K15" s="241"/>
      <c r="L15" s="241"/>
      <c r="M15" s="243"/>
    </row>
    <row r="16" spans="2:13" x14ac:dyDescent="0.2">
      <c r="B16" s="329"/>
      <c r="C16" s="330"/>
      <c r="D16" s="330"/>
      <c r="E16" s="330"/>
      <c r="F16" s="330"/>
      <c r="G16" s="331"/>
      <c r="H16" s="330"/>
      <c r="I16" s="332"/>
      <c r="J16" s="333"/>
      <c r="K16" s="333"/>
      <c r="L16" s="333"/>
      <c r="M16" s="334"/>
    </row>
    <row r="17" spans="2:13" ht="13.5" thickBot="1" x14ac:dyDescent="0.25">
      <c r="B17" s="325"/>
      <c r="C17" s="326"/>
      <c r="D17" s="326"/>
      <c r="E17" s="326"/>
      <c r="F17" s="326"/>
      <c r="G17" s="327"/>
      <c r="H17" s="326"/>
      <c r="I17" s="326"/>
      <c r="J17" s="326"/>
      <c r="K17" s="326"/>
      <c r="L17" s="326"/>
      <c r="M17" s="328"/>
    </row>
    <row r="18" spans="2:13" ht="13.5" thickBot="1" x14ac:dyDescent="0.25">
      <c r="B18" s="240" t="s">
        <v>198</v>
      </c>
      <c r="C18" s="241"/>
      <c r="D18" s="241"/>
      <c r="E18" s="241"/>
      <c r="F18" s="241"/>
      <c r="G18" s="242" t="s">
        <v>193</v>
      </c>
      <c r="H18" s="258"/>
      <c r="I18" s="242" t="s">
        <v>190</v>
      </c>
      <c r="J18" s="241"/>
      <c r="K18" s="241"/>
      <c r="L18" s="241"/>
      <c r="M18" s="243"/>
    </row>
    <row r="19" spans="2:13" x14ac:dyDescent="0.2">
      <c r="B19" s="329"/>
      <c r="C19" s="330"/>
      <c r="D19" s="330"/>
      <c r="E19" s="330"/>
      <c r="F19" s="330"/>
      <c r="G19" s="331"/>
      <c r="H19" s="330"/>
      <c r="I19" s="332"/>
      <c r="J19" s="333"/>
      <c r="K19" s="333"/>
      <c r="L19" s="333"/>
      <c r="M19" s="334"/>
    </row>
    <row r="20" spans="2:13" ht="13.5" thickBot="1" x14ac:dyDescent="0.25">
      <c r="B20" s="325"/>
      <c r="C20" s="326"/>
      <c r="D20" s="326"/>
      <c r="E20" s="326"/>
      <c r="F20" s="326"/>
      <c r="G20" s="327"/>
      <c r="H20" s="326"/>
      <c r="I20" s="326"/>
      <c r="J20" s="326"/>
      <c r="K20" s="326"/>
      <c r="L20" s="326"/>
      <c r="M20" s="328"/>
    </row>
    <row r="21" spans="2:13" ht="13.5" thickBot="1" x14ac:dyDescent="0.25">
      <c r="B21" s="240" t="s">
        <v>199</v>
      </c>
      <c r="C21" s="241"/>
      <c r="D21" s="241"/>
      <c r="E21" s="241"/>
      <c r="F21" s="241"/>
      <c r="G21" s="242" t="s">
        <v>193</v>
      </c>
      <c r="H21" s="258"/>
      <c r="I21" s="242" t="s">
        <v>190</v>
      </c>
      <c r="J21" s="241"/>
      <c r="K21" s="241"/>
      <c r="L21" s="241"/>
      <c r="M21" s="243"/>
    </row>
    <row r="22" spans="2:13" x14ac:dyDescent="0.2">
      <c r="B22" s="329"/>
      <c r="C22" s="330"/>
      <c r="D22" s="330"/>
      <c r="E22" s="330"/>
      <c r="F22" s="330"/>
      <c r="G22" s="331"/>
      <c r="H22" s="330"/>
      <c r="I22" s="332"/>
      <c r="J22" s="333"/>
      <c r="K22" s="333"/>
      <c r="L22" s="333"/>
      <c r="M22" s="334"/>
    </row>
    <row r="23" spans="2:13" ht="13.5" thickBot="1" x14ac:dyDescent="0.25">
      <c r="B23" s="325"/>
      <c r="C23" s="326"/>
      <c r="D23" s="326"/>
      <c r="E23" s="326"/>
      <c r="F23" s="326"/>
      <c r="G23" s="327"/>
      <c r="H23" s="326"/>
      <c r="I23" s="326"/>
      <c r="J23" s="326"/>
      <c r="K23" s="326"/>
      <c r="L23" s="326"/>
      <c r="M23" s="328"/>
    </row>
    <row r="24" spans="2:13" ht="13.5" thickBot="1" x14ac:dyDescent="0.25">
      <c r="B24" s="240" t="s">
        <v>200</v>
      </c>
      <c r="C24" s="241"/>
      <c r="D24" s="241"/>
      <c r="E24" s="241"/>
      <c r="F24" s="241"/>
      <c r="G24" s="242" t="s">
        <v>193</v>
      </c>
      <c r="H24" s="258"/>
      <c r="I24" s="242" t="s">
        <v>190</v>
      </c>
      <c r="J24" s="241"/>
      <c r="K24" s="241"/>
      <c r="L24" s="241"/>
      <c r="M24" s="243"/>
    </row>
    <row r="25" spans="2:13" x14ac:dyDescent="0.2">
      <c r="B25" s="329"/>
      <c r="C25" s="330"/>
      <c r="D25" s="330"/>
      <c r="E25" s="330"/>
      <c r="F25" s="330"/>
      <c r="G25" s="331"/>
      <c r="H25" s="330"/>
      <c r="I25" s="332"/>
      <c r="J25" s="333"/>
      <c r="K25" s="333"/>
      <c r="L25" s="333"/>
      <c r="M25" s="334"/>
    </row>
    <row r="26" spans="2:13" ht="13.5" thickBot="1" x14ac:dyDescent="0.25">
      <c r="B26" s="325"/>
      <c r="C26" s="326"/>
      <c r="D26" s="326"/>
      <c r="E26" s="326"/>
      <c r="F26" s="326"/>
      <c r="G26" s="327"/>
      <c r="H26" s="326"/>
      <c r="I26" s="326"/>
      <c r="J26" s="326"/>
      <c r="K26" s="326"/>
      <c r="L26" s="326"/>
      <c r="M26" s="328"/>
    </row>
    <row r="27" spans="2:13" ht="13.5" thickBot="1" x14ac:dyDescent="0.25">
      <c r="B27" s="240" t="s">
        <v>201</v>
      </c>
      <c r="C27" s="241"/>
      <c r="D27" s="241"/>
      <c r="E27" s="241"/>
      <c r="F27" s="241"/>
      <c r="G27" s="242" t="s">
        <v>193</v>
      </c>
      <c r="H27" s="258"/>
      <c r="I27" s="242" t="s">
        <v>190</v>
      </c>
      <c r="J27" s="241"/>
      <c r="K27" s="241"/>
      <c r="L27" s="241"/>
      <c r="M27" s="243"/>
    </row>
    <row r="28" spans="2:13" x14ac:dyDescent="0.2">
      <c r="B28" s="329"/>
      <c r="C28" s="330"/>
      <c r="D28" s="330"/>
      <c r="E28" s="330"/>
      <c r="F28" s="330"/>
      <c r="G28" s="331"/>
      <c r="H28" s="330"/>
      <c r="I28" s="332"/>
      <c r="J28" s="333"/>
      <c r="K28" s="333"/>
      <c r="L28" s="333"/>
      <c r="M28" s="334"/>
    </row>
    <row r="29" spans="2:13" ht="13.5" thickBot="1" x14ac:dyDescent="0.25">
      <c r="B29" s="325"/>
      <c r="C29" s="326"/>
      <c r="D29" s="326"/>
      <c r="E29" s="326"/>
      <c r="F29" s="326"/>
      <c r="G29" s="327"/>
      <c r="H29" s="326"/>
      <c r="I29" s="326"/>
      <c r="J29" s="326"/>
      <c r="K29" s="326"/>
      <c r="L29" s="326"/>
      <c r="M29" s="328"/>
    </row>
  </sheetData>
  <mergeCells count="81">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6:F26"/>
    <mergeCell ref="G26:H26"/>
    <mergeCell ref="I26:M26"/>
    <mergeCell ref="B29:F29"/>
    <mergeCell ref="G29:H29"/>
    <mergeCell ref="I29:M29"/>
    <mergeCell ref="B27:F27"/>
    <mergeCell ref="G27:H27"/>
    <mergeCell ref="I27:M27"/>
    <mergeCell ref="B28:F28"/>
    <mergeCell ref="G28:H28"/>
    <mergeCell ref="I28:M28"/>
  </mergeCell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Metrics</vt:lpstr>
      <vt:lpstr>Milestones</vt:lpstr>
      <vt:lpstr>Manpower Q1 15</vt:lpstr>
      <vt:lpstr>Manpower Q2 15</vt:lpstr>
      <vt:lpstr>Narrative</vt:lpstr>
      <vt:lpstr>EVAL</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gronbech</cp:lastModifiedBy>
  <cp:lastPrinted>2014-10-01T10:24:00Z</cp:lastPrinted>
  <dcterms:created xsi:type="dcterms:W3CDTF">2006-07-17T09:56:01Z</dcterms:created>
  <dcterms:modified xsi:type="dcterms:W3CDTF">2015-10-22T14:54:09Z</dcterms:modified>
</cp:coreProperties>
</file>