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2985" yWindow="1245" windowWidth="20715" windowHeight="11580" tabRatio="579"/>
  </bookViews>
  <sheets>
    <sheet name="Metrics" sheetId="5" r:id="rId1"/>
    <sheet name="Milestones" sheetId="6" r:id="rId2"/>
    <sheet name="Manpower Q116" sheetId="16" r:id="rId3"/>
    <sheet name="Manpower Q216" sheetId="17" r:id="rId4"/>
    <sheet name="Manpower Q316" sheetId="19" r:id="rId5"/>
    <sheet name="Manpower Q416" sheetId="21" r:id="rId6"/>
    <sheet name="Manpower Q117" sheetId="24" r:id="rId7"/>
    <sheet name="Narrative Q116" sheetId="4" r:id="rId8"/>
    <sheet name="Narrative Q216" sheetId="18" r:id="rId9"/>
    <sheet name="Narrative Q316" sheetId="20" r:id="rId10"/>
    <sheet name="Narrative Q416" sheetId="22" r:id="rId11"/>
    <sheet name="Narrative Q117" sheetId="23" r:id="rId12"/>
    <sheet name="EVAL" sheetId="8" r:id="rId13"/>
  </sheets>
  <definedNames>
    <definedName name="_xlnm._FilterDatabase" localSheetId="0" hidden="1">Metrics!$A$8:$L$40</definedName>
    <definedName name="_xlnm._FilterDatabase" localSheetId="1" hidden="1">Milestones!$8:$30</definedName>
  </definedNames>
  <calcPr calcId="145621"/>
</workbook>
</file>

<file path=xl/calcChain.xml><?xml version="1.0" encoding="utf-8"?>
<calcChain xmlns="http://schemas.openxmlformats.org/spreadsheetml/2006/main">
  <c r="O8" i="24" l="1"/>
  <c r="R12" i="24"/>
  <c r="K24" i="5" l="1"/>
  <c r="K40" i="5"/>
  <c r="J40" i="5"/>
  <c r="K39" i="5"/>
  <c r="K38" i="5"/>
  <c r="K37" i="5"/>
  <c r="J37" i="5"/>
  <c r="K36" i="5"/>
  <c r="J36" i="5"/>
  <c r="K35" i="5"/>
  <c r="J35" i="5"/>
  <c r="K34" i="5"/>
  <c r="K33" i="5"/>
  <c r="K32" i="5"/>
  <c r="K31" i="5"/>
  <c r="K30" i="5"/>
  <c r="J30" i="5"/>
  <c r="K28" i="5"/>
  <c r="J28" i="5"/>
  <c r="K27" i="5"/>
  <c r="K26" i="5"/>
  <c r="J26" i="5"/>
  <c r="J24" i="5"/>
  <c r="K25" i="5"/>
  <c r="J25" i="5"/>
  <c r="K10" i="5"/>
  <c r="J10" i="5"/>
  <c r="K9" i="5"/>
  <c r="J9" i="5"/>
  <c r="K23" i="5"/>
  <c r="J23" i="5"/>
  <c r="K20" i="5"/>
  <c r="J20" i="5"/>
  <c r="K19" i="5"/>
  <c r="J19" i="5"/>
  <c r="K18" i="5"/>
  <c r="J18" i="5"/>
  <c r="K17" i="5"/>
  <c r="J17" i="5"/>
  <c r="I23" i="24"/>
  <c r="H23" i="24"/>
  <c r="G23" i="24"/>
  <c r="F23" i="24"/>
  <c r="E23" i="24"/>
  <c r="D23" i="24"/>
  <c r="M22" i="24"/>
  <c r="L22" i="24"/>
  <c r="M21" i="24"/>
  <c r="L21" i="24"/>
  <c r="I16" i="24"/>
  <c r="H16" i="24"/>
  <c r="G16" i="24"/>
  <c r="F16" i="24"/>
  <c r="E16" i="24"/>
  <c r="D16" i="24"/>
  <c r="M15" i="24"/>
  <c r="L15" i="24"/>
  <c r="M14" i="24"/>
  <c r="L14" i="24"/>
  <c r="M13" i="24"/>
  <c r="L13" i="24"/>
  <c r="M12" i="24"/>
  <c r="L12" i="24"/>
  <c r="M11" i="24"/>
  <c r="L11" i="24"/>
  <c r="M10" i="24"/>
  <c r="L10" i="24"/>
  <c r="B4" i="24"/>
  <c r="B5" i="23"/>
  <c r="B4" i="23"/>
  <c r="B3" i="23"/>
  <c r="I40" i="5"/>
  <c r="J39" i="5"/>
  <c r="I39" i="5"/>
  <c r="J38" i="5"/>
  <c r="I38" i="5"/>
  <c r="I37" i="5"/>
  <c r="I36" i="5"/>
  <c r="I35" i="5"/>
  <c r="J33" i="5"/>
  <c r="J34" i="5"/>
  <c r="J32" i="5"/>
  <c r="J31" i="5"/>
  <c r="I30" i="5"/>
  <c r="I28" i="5"/>
  <c r="J27" i="5"/>
  <c r="I26" i="5"/>
  <c r="I24" i="5"/>
  <c r="I23" i="5"/>
  <c r="I20" i="5"/>
  <c r="I19" i="5"/>
  <c r="I10" i="5"/>
  <c r="I18" i="5"/>
  <c r="I17" i="5"/>
  <c r="I9" i="5"/>
  <c r="B5" i="22"/>
  <c r="B4" i="22"/>
  <c r="B3" i="22"/>
  <c r="I23" i="21"/>
  <c r="H23" i="21"/>
  <c r="G23" i="21"/>
  <c r="F23" i="21"/>
  <c r="E23" i="21"/>
  <c r="D23" i="21"/>
  <c r="M22" i="21"/>
  <c r="L22" i="21"/>
  <c r="M21" i="21"/>
  <c r="L21" i="21"/>
  <c r="I16" i="21"/>
  <c r="H16" i="21"/>
  <c r="G16" i="21"/>
  <c r="F16" i="21"/>
  <c r="E16" i="21"/>
  <c r="D16" i="21"/>
  <c r="M15" i="21"/>
  <c r="L15" i="21"/>
  <c r="M14" i="21"/>
  <c r="L14" i="21"/>
  <c r="M13" i="21"/>
  <c r="L13" i="21"/>
  <c r="M12" i="21"/>
  <c r="L12" i="21"/>
  <c r="M11" i="21"/>
  <c r="L11" i="21"/>
  <c r="M10" i="21"/>
  <c r="L10" i="21"/>
  <c r="B4" i="21"/>
  <c r="I22" i="5"/>
  <c r="H22" i="5"/>
  <c r="I21" i="5"/>
  <c r="H21" i="5"/>
  <c r="I27" i="5"/>
  <c r="I25" i="5"/>
  <c r="H40" i="5"/>
  <c r="H39" i="5"/>
  <c r="H38" i="5"/>
  <c r="H37" i="5"/>
  <c r="H35" i="5"/>
  <c r="I34" i="5"/>
  <c r="I33" i="5"/>
  <c r="I32" i="5"/>
  <c r="I31" i="5"/>
  <c r="H31" i="5"/>
  <c r="H30" i="5"/>
  <c r="H19" i="5"/>
  <c r="H20" i="5"/>
  <c r="H10" i="5"/>
  <c r="H18" i="5"/>
  <c r="H17" i="5"/>
  <c r="H9" i="5"/>
  <c r="I23" i="19"/>
  <c r="H23" i="19"/>
  <c r="G23" i="19"/>
  <c r="F23" i="19"/>
  <c r="E23" i="19"/>
  <c r="D23" i="19"/>
  <c r="M22" i="19"/>
  <c r="L22" i="19"/>
  <c r="M21" i="19"/>
  <c r="L21" i="19"/>
  <c r="M13" i="19"/>
  <c r="B5" i="20"/>
  <c r="B4" i="20"/>
  <c r="B3" i="20"/>
  <c r="I16" i="19"/>
  <c r="H16" i="19"/>
  <c r="G16" i="19"/>
  <c r="F16" i="19"/>
  <c r="E16" i="19"/>
  <c r="D16" i="19"/>
  <c r="M15" i="19"/>
  <c r="L15" i="19"/>
  <c r="M14" i="19"/>
  <c r="L14" i="19"/>
  <c r="L13" i="19"/>
  <c r="M12" i="19"/>
  <c r="L12" i="19"/>
  <c r="M11" i="19"/>
  <c r="L11" i="19"/>
  <c r="M10" i="19"/>
  <c r="L10" i="19"/>
  <c r="B4" i="19"/>
  <c r="H11" i="5"/>
  <c r="G11" i="5"/>
  <c r="G22" i="5"/>
  <c r="G21" i="5"/>
  <c r="H28" i="5"/>
  <c r="H23" i="5"/>
  <c r="H27" i="5"/>
  <c r="H26" i="5"/>
  <c r="H25" i="5"/>
  <c r="H24" i="5"/>
  <c r="H36" i="5"/>
  <c r="H34" i="5"/>
  <c r="H33" i="5"/>
  <c r="H32" i="5"/>
  <c r="G17" i="5"/>
  <c r="G10" i="5"/>
  <c r="B5" i="18"/>
  <c r="B3" i="18"/>
  <c r="I16" i="17"/>
  <c r="H16" i="17"/>
  <c r="G16" i="17"/>
  <c r="F16" i="17"/>
  <c r="E16" i="17"/>
  <c r="D16" i="17"/>
  <c r="M15" i="17"/>
  <c r="L15" i="17"/>
  <c r="M14" i="17"/>
  <c r="L14" i="17"/>
  <c r="L13" i="17"/>
  <c r="M12" i="17"/>
  <c r="L12" i="17"/>
  <c r="M11" i="17"/>
  <c r="L11" i="17"/>
  <c r="M10" i="17"/>
  <c r="L10" i="17"/>
  <c r="B4" i="17"/>
  <c r="L15" i="16"/>
  <c r="G40" i="5"/>
  <c r="G39" i="5"/>
  <c r="G36" i="5"/>
  <c r="G35" i="5"/>
  <c r="G28" i="5"/>
  <c r="G25" i="5"/>
  <c r="G27" i="5"/>
  <c r="G26" i="5"/>
  <c r="G24" i="5"/>
  <c r="G23" i="5"/>
  <c r="G20" i="5"/>
  <c r="G19" i="5"/>
  <c r="G18" i="5"/>
  <c r="G9" i="5"/>
  <c r="G38" i="5"/>
  <c r="G37" i="5"/>
  <c r="G34" i="5"/>
  <c r="G33" i="5"/>
  <c r="G32" i="5"/>
  <c r="G31" i="5"/>
  <c r="G30" i="5"/>
  <c r="M17" i="16"/>
  <c r="L17" i="16"/>
  <c r="M16" i="16"/>
  <c r="L16" i="16"/>
  <c r="M15" i="16"/>
  <c r="M14" i="16"/>
  <c r="L14" i="16"/>
  <c r="L13" i="16"/>
  <c r="M12" i="16"/>
  <c r="L12" i="16"/>
  <c r="M11" i="16"/>
  <c r="L11" i="16"/>
  <c r="M10" i="16"/>
  <c r="L10" i="16"/>
  <c r="I18" i="16"/>
  <c r="H18" i="16"/>
  <c r="G18" i="16"/>
  <c r="F18" i="16"/>
  <c r="E18" i="16"/>
  <c r="D18" i="16"/>
  <c r="F40" i="5"/>
  <c r="B3" i="6"/>
  <c r="B4" i="6"/>
  <c r="B5" i="6"/>
  <c r="B3" i="4"/>
  <c r="B5" i="4"/>
</calcChain>
</file>

<file path=xl/comments1.xml><?xml version="1.0" encoding="utf-8"?>
<comments xmlns="http://schemas.openxmlformats.org/spreadsheetml/2006/main">
  <authors>
    <author>gronbech</author>
  </authors>
  <commentList>
    <comment ref="B21" authorId="0">
      <text>
        <r>
          <rPr>
            <b/>
            <sz val="9"/>
            <color indexed="81"/>
            <rFont val="Tahoma"/>
            <family val="2"/>
          </rPr>
          <t>gronbech:</t>
        </r>
        <r>
          <rPr>
            <sz val="9"/>
            <color indexed="81"/>
            <rFont val="Tahoma"/>
            <family val="2"/>
          </rPr>
          <t xml:space="preserve">
expect 0.7FTE</t>
        </r>
      </text>
    </comment>
    <comment ref="B22" authorId="0">
      <text>
        <r>
          <rPr>
            <b/>
            <sz val="9"/>
            <color indexed="81"/>
            <rFont val="Tahoma"/>
            <family val="2"/>
          </rPr>
          <t>gronbech:</t>
        </r>
        <r>
          <rPr>
            <sz val="9"/>
            <color indexed="81"/>
            <rFont val="Tahoma"/>
            <family val="2"/>
          </rPr>
          <t xml:space="preserve">
Expect 0.3FTE</t>
        </r>
      </text>
    </comment>
  </commentList>
</comments>
</file>

<file path=xl/comments2.xml><?xml version="1.0" encoding="utf-8"?>
<comments xmlns="http://schemas.openxmlformats.org/spreadsheetml/2006/main">
  <authors>
    <author>gronbech</author>
  </authors>
  <commentList>
    <comment ref="B21" authorId="0">
      <text>
        <r>
          <rPr>
            <b/>
            <sz val="9"/>
            <color indexed="81"/>
            <rFont val="Tahoma"/>
            <family val="2"/>
          </rPr>
          <t>gronbech:</t>
        </r>
        <r>
          <rPr>
            <sz val="9"/>
            <color indexed="81"/>
            <rFont val="Tahoma"/>
            <family val="2"/>
          </rPr>
          <t xml:space="preserve">
expect 0.7FTE</t>
        </r>
      </text>
    </comment>
    <comment ref="B22" authorId="0">
      <text>
        <r>
          <rPr>
            <b/>
            <sz val="9"/>
            <color indexed="81"/>
            <rFont val="Tahoma"/>
            <family val="2"/>
          </rPr>
          <t>gronbech:</t>
        </r>
        <r>
          <rPr>
            <sz val="9"/>
            <color indexed="81"/>
            <rFont val="Tahoma"/>
            <family val="2"/>
          </rPr>
          <t xml:space="preserve">
Expect 0.3FTE</t>
        </r>
      </text>
    </comment>
  </commentList>
</comments>
</file>

<file path=xl/comments3.xml><?xml version="1.0" encoding="utf-8"?>
<comments xmlns="http://schemas.openxmlformats.org/spreadsheetml/2006/main">
  <authors>
    <author>gronbech</author>
  </authors>
  <commentList>
    <comment ref="B21" authorId="0">
      <text>
        <r>
          <rPr>
            <b/>
            <sz val="9"/>
            <color indexed="81"/>
            <rFont val="Tahoma"/>
            <family val="2"/>
          </rPr>
          <t>gronbech:</t>
        </r>
        <r>
          <rPr>
            <sz val="9"/>
            <color indexed="81"/>
            <rFont val="Tahoma"/>
            <family val="2"/>
          </rPr>
          <t xml:space="preserve">
expect 0.7FTE</t>
        </r>
      </text>
    </comment>
    <comment ref="B22" authorId="0">
      <text>
        <r>
          <rPr>
            <b/>
            <sz val="9"/>
            <color indexed="81"/>
            <rFont val="Tahoma"/>
            <family val="2"/>
          </rPr>
          <t>gronbech:</t>
        </r>
        <r>
          <rPr>
            <sz val="9"/>
            <color indexed="81"/>
            <rFont val="Tahoma"/>
            <family val="2"/>
          </rPr>
          <t xml:space="preserve">
Expect 0.3FTE</t>
        </r>
      </text>
    </comment>
  </commentList>
</comments>
</file>

<file path=xl/comments4.xml><?xml version="1.0" encoding="utf-8"?>
<comments xmlns="http://schemas.openxmlformats.org/spreadsheetml/2006/main">
  <authors>
    <author xml:space="preserve"> </author>
  </authors>
  <commentList>
    <comment ref="H49" authorId="0">
      <text>
        <r>
          <rPr>
            <sz val="8"/>
            <color indexed="81"/>
            <rFont val="Tahoma"/>
            <family val="2"/>
          </rPr>
          <t xml:space="preserve">Unable to set until new LHC schedule and revised experiment resource requirements
</t>
        </r>
      </text>
    </comment>
    <comment ref="H50" authorId="0">
      <text>
        <r>
          <rPr>
            <sz val="8"/>
            <color indexed="81"/>
            <rFont val="Tahoma"/>
            <family val="2"/>
          </rPr>
          <t xml:space="preserve">Unable to set until new LHC schedule and revised experiment resource requirements
</t>
        </r>
      </text>
    </comment>
  </commentList>
</comments>
</file>

<file path=xl/comments5.xml><?xml version="1.0" encoding="utf-8"?>
<comments xmlns="http://schemas.openxmlformats.org/spreadsheetml/2006/main">
  <authors>
    <author xml:space="preserve"> </author>
  </authors>
  <commentList>
    <comment ref="H49" authorId="0">
      <text>
        <r>
          <rPr>
            <sz val="8"/>
            <color indexed="81"/>
            <rFont val="Tahoma"/>
            <family val="2"/>
          </rPr>
          <t xml:space="preserve">Unable to set until new LHC schedule and revised experiment resource requirements
</t>
        </r>
      </text>
    </comment>
    <comment ref="H50" authorId="0">
      <text>
        <r>
          <rPr>
            <sz val="8"/>
            <color indexed="81"/>
            <rFont val="Tahoma"/>
            <family val="2"/>
          </rPr>
          <t xml:space="preserve">Unable to set until new LHC schedule and revised experiment resource requirements
</t>
        </r>
      </text>
    </comment>
  </commentList>
</comments>
</file>

<file path=xl/sharedStrings.xml><?xml version="1.0" encoding="utf-8"?>
<sst xmlns="http://schemas.openxmlformats.org/spreadsheetml/2006/main" count="949" uniqueCount="390">
  <si>
    <t>Query</t>
  </si>
  <si>
    <t>Production Team</t>
  </si>
  <si>
    <t>Gareth Smith</t>
  </si>
  <si>
    <t>Proposed Milestone change</t>
  </si>
  <si>
    <t>Likely to be late</t>
  </si>
  <si>
    <t>Month 1</t>
  </si>
  <si>
    <t>GridPP Funded</t>
  </si>
  <si>
    <t>Unfunded</t>
  </si>
  <si>
    <t>Month 2</t>
  </si>
  <si>
    <t>Month 3</t>
  </si>
  <si>
    <t>Progress over last Quarter</t>
  </si>
  <si>
    <t>Successes</t>
  </si>
  <si>
    <t>Problems/Issues</t>
  </si>
  <si>
    <t>General Risks</t>
  </si>
  <si>
    <t>Risk</t>
  </si>
  <si>
    <t>Note:To get multiple lines per box use Alt-Return</t>
  </si>
  <si>
    <t>Mitigating Action</t>
  </si>
  <si>
    <t>Objectives and Deliverables for Last Quarter</t>
  </si>
  <si>
    <t>Objective/Deliverable</t>
  </si>
  <si>
    <t>Due Date</t>
  </si>
  <si>
    <t>Metric/Output</t>
  </si>
  <si>
    <t>Objectives and Deliverables for Next Quarter</t>
  </si>
  <si>
    <t>Site</t>
  </si>
  <si>
    <t>Total</t>
  </si>
  <si>
    <t>GridPP Quarterly Report</t>
  </si>
  <si>
    <t>Quarter</t>
  </si>
  <si>
    <t>Owner</t>
  </si>
  <si>
    <t>Description</t>
  </si>
  <si>
    <t>Area</t>
  </si>
  <si>
    <t>Reported by</t>
  </si>
  <si>
    <t>Target</t>
  </si>
  <si>
    <t>OK</t>
  </si>
  <si>
    <t>Not OK</t>
  </si>
  <si>
    <t>Comment</t>
  </si>
  <si>
    <t>Suspended</t>
  </si>
  <si>
    <t>Milestone no.</t>
  </si>
  <si>
    <t>Due date</t>
  </si>
  <si>
    <t>Date complete</t>
  </si>
  <si>
    <t>Evidence</t>
  </si>
  <si>
    <t>Overdue</t>
  </si>
  <si>
    <t>Not yet due</t>
  </si>
  <si>
    <t>Work area</t>
  </si>
  <si>
    <t>Complete</t>
  </si>
  <si>
    <t>Insitute or area specific risks</t>
  </si>
  <si>
    <t>Not yet able to be measured</t>
  </si>
  <si>
    <t>Effort (FTE)</t>
  </si>
  <si>
    <t>Close to target</t>
  </si>
  <si>
    <t>Source</t>
  </si>
  <si>
    <t>CPU</t>
  </si>
  <si>
    <t>CASTOR/Tape</t>
  </si>
  <si>
    <t>Operations</t>
  </si>
  <si>
    <t>Network</t>
  </si>
  <si>
    <t>Management</t>
  </si>
  <si>
    <t>Tier-1</t>
  </si>
  <si>
    <t>Andrew Sansum</t>
  </si>
  <si>
    <t>Tim Folkes</t>
  </si>
  <si>
    <t>Catalin Condurache</t>
  </si>
  <si>
    <t>Based on Milestones 1.3d-2</t>
  </si>
  <si>
    <t>General</t>
  </si>
  <si>
    <t>CASTOR</t>
  </si>
  <si>
    <t>Disk</t>
  </si>
  <si>
    <t>Production</t>
  </si>
  <si>
    <t>Tier-1 no.</t>
  </si>
  <si>
    <t>GridPP no.</t>
  </si>
  <si>
    <t>Objectives and Deliverables needing Rescheduling</t>
  </si>
  <si>
    <t>Old Due Date</t>
  </si>
  <si>
    <t>New Due Date</t>
  </si>
  <si>
    <t>Reason</t>
  </si>
  <si>
    <t xml:space="preserve">New Objectives and Deliverables </t>
  </si>
  <si>
    <t>Summary of Comments</t>
  </si>
  <si>
    <t>Core Services</t>
  </si>
  <si>
    <t>GRIDPP Funded Name(s)</t>
  </si>
  <si>
    <t>Sansum</t>
  </si>
  <si>
    <t>Proposed to be Rescheduled</t>
  </si>
  <si>
    <t>Grid Deployment</t>
  </si>
  <si>
    <t>Fraction of WLCG MoU commitment for CPU 100 %</t>
  </si>
  <si>
    <t>Availability of CE service 99 %</t>
    <phoneticPr fontId="0" type="noConversion"/>
  </si>
  <si>
    <t>Number of Security Incidents 2 per year</t>
    <phoneticPr fontId="0" type="noConversion"/>
  </si>
  <si>
    <t xml:space="preserve"># level 3 incidents(newly entered or active) in disaster management system 0  </t>
    <phoneticPr fontId="0" type="noConversion"/>
  </si>
  <si>
    <t xml:space="preserve"># level 4 incidents (newly entered or active) in disaster management system 0  </t>
    <phoneticPr fontId="0" type="noConversion"/>
  </si>
  <si>
    <t>Percentage of GRIDPP4 Staff in Post 93 %</t>
  </si>
  <si>
    <t>Fraction of WLCG MoU commitment for Disk 100 %</t>
    <phoneticPr fontId="0" type="noConversion"/>
  </si>
  <si>
    <t xml:space="preserve"> Fraction of WLCG MoU commitment for Tape 100 %</t>
    <phoneticPr fontId="0" type="noConversion"/>
  </si>
  <si>
    <t># Storage node failures leading to filesystem loss or damage</t>
  </si>
  <si>
    <t>% Lost disk server hours due to hardware problems over deployed base</t>
    <phoneticPr fontId="0" type="noConversion"/>
  </si>
  <si>
    <t>CASTOR SAM tests: ATLAS VO</t>
  </si>
  <si>
    <t>CASTOR SAM tests: ALICE VO</t>
  </si>
  <si>
    <t>CASTOR SAM tests: CMS VO</t>
  </si>
  <si>
    <t>CASTOR SAM tests: LHCb VO</t>
  </si>
  <si>
    <t xml:space="preserve"> Reliability of tape robot 99 %</t>
  </si>
  <si>
    <t>WLCG Service Availability Target (set lower by WLCG than MoU, taken from OPS availability) 97 %</t>
  </si>
  <si>
    <t>WLCG Service Availability for Alice 97 %</t>
  </si>
  <si>
    <t>WLCG Service Availability for ATLAS 97 %</t>
    <phoneticPr fontId="0" type="noConversion"/>
  </si>
  <si>
    <t>WLCG Service Availability for CMS 97 %</t>
    <phoneticPr fontId="0" type="noConversion"/>
  </si>
  <si>
    <t>WLCG Service Availability for LHCB 97 %</t>
    <phoneticPr fontId="0" type="noConversion"/>
  </si>
  <si>
    <t xml:space="preserve">Respond to pager within 2 hours  95 %  </t>
  </si>
  <si>
    <t xml:space="preserve">Number of GGUS Tickets not responded to within two hours .  </t>
    <phoneticPr fontId="0" type="noConversion"/>
  </si>
  <si>
    <t>Job Efficiency (CPU/Wall) 70 %</t>
  </si>
  <si>
    <t>Farm Occupancy 70 %</t>
  </si>
  <si>
    <t>Produce the purchasing plan</t>
  </si>
  <si>
    <t>% met of GRIDPP T1RB Allocation for Tape   100 %</t>
  </si>
  <si>
    <t>% met of GRIDPP T1-RB allocation for CPU 100 %</t>
  </si>
  <si>
    <t>% met of GRIDPP T1RB Allocation for Disk  100 %</t>
  </si>
  <si>
    <t xml:space="preserve">Damaged tapes/month, leading to data loss </t>
  </si>
  <si>
    <t>3 per month</t>
  </si>
  <si>
    <t>Percentage of available T1 Disk 1 used in quarter 20 %</t>
  </si>
  <si>
    <t>Used tape capacity (TB)</t>
  </si>
  <si>
    <t>Fabric</t>
  </si>
  <si>
    <t>Grid</t>
  </si>
  <si>
    <t>Database</t>
  </si>
  <si>
    <t>Machine Room Operations</t>
  </si>
  <si>
    <t>Database team</t>
  </si>
  <si>
    <t>Smith, Idiculla, Kelly</t>
  </si>
  <si>
    <t>Metric calculation changed in 12Q1 Now harder</t>
  </si>
  <si>
    <t>Notes</t>
  </si>
  <si>
    <t>EVAL Notes</t>
  </si>
  <si>
    <t>Publications</t>
  </si>
  <si>
    <t xml:space="preserve"> Date</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</si>
  <si>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</si>
  <si>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</si>
  <si>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</si>
  <si>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</si>
  <si>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</si>
  <si>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</si>
  <si>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</si>
  <si>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</si>
  <si>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Tier-1 WLCG MoU commitments met</t>
  </si>
  <si>
    <t>Capacity procurements started</t>
  </si>
  <si>
    <t>Norris, Patel, Sheppard, Knightley</t>
  </si>
  <si>
    <t>Condurache, Adams, Collier, Ryall, Dibbo, Williams</t>
  </si>
  <si>
    <t>The Tier-1 project to replace (remove) the old UKLight router has been delayed owing to Tier-1 team staff departures and operational problems. Network bandwidth limitations on the Tier-1 links to JANET.
STFC has been unable to prioritise IPV6 developments necessary to allow the Tier-1 to to meet its WLCG milestone of Perfsonar access over IPV6.</t>
  </si>
  <si>
    <t>Continue work on the CEPH disk storage project.</t>
  </si>
  <si>
    <t>A1.16 External review of operation</t>
  </si>
  <si>
    <t>A1.17 Strategic and operations plan agreed</t>
  </si>
  <si>
    <t>This will need to take into account the GridPP5 bid and may depend on when a new Tier1 Manager is recruited.</t>
  </si>
  <si>
    <t>The GridPP5 proposal requires the Tier1 to transition to supplying a more diverse community and that economies (in this context as seen by GridPP) can be found by providing a shared resource.</t>
  </si>
  <si>
    <t>Ongoing discussions with other communities. Some initial success with DiRAC.</t>
  </si>
  <si>
    <t>A4.5 Tier-1 WLCG MoU commitments met</t>
  </si>
  <si>
    <t>Sierra, Smirnov, Packer</t>
  </si>
  <si>
    <t xml:space="preserve">reduction as increased cost sharing with ISIS </t>
  </si>
  <si>
    <t>Load sharing of T1 Manager role amongst several staff. But not sustainable long term</t>
  </si>
  <si>
    <t xml:space="preserve">Staffing recruitment and retention remains problematic. </t>
  </si>
  <si>
    <t>STFC recognises that delays in the SBS procurement process are a risk to the whole organisation. STFC has introduced its own oversight of this process. The Tier1 will need to commence its procurements significantly earlier than last year in order to meet its deadlines.</t>
  </si>
  <si>
    <t>Recruitment and retention is considered a significant risk to STFC. A number of initiatives are underway in order to mitigate this. It would be possible to further mitigate against this risk if the Tier1 were able to recruit staff above agreed average staffing level.</t>
  </si>
  <si>
    <t>Experiment data access models are evolving. CASTOR is looking increasingly limited by transaction rate - particularly during hardware draining and meta-data operations such as ATLAS renaming.  It is increasingly clear that CASTOR will not provide all required functionality to meet future experiment requirements. However recent discussion at PMB F2F concluded that no indication yet that CASTOR would prove inadaquate.</t>
  </si>
  <si>
    <t>Q116</t>
  </si>
  <si>
    <t>A temporary increase of 1 FTE over previous quarter - code developer effort for CEPH xrootd/gridftp plug in.</t>
  </si>
  <si>
    <t>Q116 CMS tests poor in January. There was a problem on the network bypass' that affected all VOs. For CMS the SRM tests run agains CMSTape which was under high load and saw problems during January.</t>
  </si>
  <si>
    <t>Capacity Purchases received by end of quarter.</t>
  </si>
  <si>
    <t>The Tier1 manager role is being filled by 20% of Andrew.</t>
  </si>
  <si>
    <t xml:space="preserve">
</t>
  </si>
  <si>
    <t>Two members of staff left at the end of this quarter:
Shaun De Witt (Castor Team)
Juan Sierra (Database Team)</t>
  </si>
  <si>
    <t>We have seen increased use of the OPN link for part of this quarter.</t>
  </si>
  <si>
    <t>Capacity Purchase received by end of quarter.
Eight Disk servers, with a total capacity of almost 900TB added to Atlas Castor.</t>
  </si>
  <si>
    <t>There have been a few network problems: 
Twice during the quarter there were problems with one of the four links between the 'UKLight' router and the Tier1 core network.
Also there was a site networking problem at the end of March. The Tier1 router pair didn't failover owing to a configuraion error.</t>
  </si>
  <si>
    <t>Following the deoparture of Juan Sierra the Database Team is down to one person - which is below the critical threshold.
The use of a contractor and the recruitment of more DB Admins are being followed up as a matter of urgency.</t>
  </si>
  <si>
    <t>The Castor 2.1.15 update has not been rolled out. Early tests showed load problems on the Oracle Database. Tests have been hidered by problems within the test database system which has had to be rebuilt.</t>
  </si>
  <si>
    <r>
      <rPr>
        <b/>
        <sz val="10"/>
        <rFont val="Arial"/>
        <family val="2"/>
      </rPr>
      <t>2017</t>
    </r>
    <r>
      <rPr>
        <sz val="10"/>
        <rFont val="Arial"/>
        <family val="2"/>
      </rPr>
      <t xml:space="preserve"> Capacity produrement may be impacted by delays introduced by SBS procurement process.</t>
    </r>
  </si>
  <si>
    <t>propose autumn-2016</t>
  </si>
  <si>
    <t>A review has been requested by the PMB for this timescale.</t>
  </si>
  <si>
    <t>propose 01/Sep/2016</t>
  </si>
  <si>
    <t xml:space="preserve">A4.1 Internal strategic and technology review </t>
  </si>
  <si>
    <t>Propose Re-scheduling: Was awaiting completion of GridPP5 bid. Partly dependent on appointment of new Tier1 manager.</t>
  </si>
  <si>
    <t>MOU commitments have been met. Capacity order received.</t>
  </si>
  <si>
    <t>A4.2 Produce the purchasing plan</t>
  </si>
  <si>
    <t>Jun '16</t>
  </si>
  <si>
    <t>Capacity Order Placed</t>
  </si>
  <si>
    <t>Capacity Procurements Started</t>
  </si>
  <si>
    <t>Tier-1 is setting up a new network management meeting that will include members of site networking group to oversee tier-1 network projects. Tier-1 service manager has been invited to attend the STFC NetTDA where site network development priorities are set.
Following a review of the UKLight router replacement a simpler course of action (as compared to that previously proposed) was agreed. Progress towards this replacement is being tracked by the Tier1 Production Manager.</t>
  </si>
  <si>
    <t>Canning ,  De Witt,  Folkes, Prosser, Davies,Appleyard, Johnson</t>
  </si>
  <si>
    <t>Bly, Hafeez, Harper, Walia</t>
  </si>
  <si>
    <t>Order placed.</t>
  </si>
  <si>
    <t>Poor availability in Jan. Problem with OPN link caused incoming tests to fail.</t>
  </si>
  <si>
    <t>Poor availability in Jan. Problem with OPN link caused incoming tests to fail. Plus tests run against CMSTape area in Castor which was under high load for a couple of days.</t>
  </si>
  <si>
    <t>There have been problems with one of the older batches of disk servers (CV'11) used in the tape caches. Action has been taken to mitigate this (firmware updates, using spare disks from a different manufacturer that were in a decommissioned batch of servers).
Some new disk servers are being purchased to go into the disk caches so that the older servers can be retired.</t>
  </si>
  <si>
    <t>Q216</t>
  </si>
  <si>
    <t>Comment Q116</t>
  </si>
  <si>
    <t>Comment Q216</t>
  </si>
  <si>
    <t>Andrew Lahiff</t>
  </si>
  <si>
    <t>Failed for one out of hours callout in May. There were low statistics with only a total of 5 callouts out of hours in the month.</t>
  </si>
  <si>
    <t>Rob Appleyard</t>
  </si>
  <si>
    <t>Significant problems with the tape library in May and June. Initially hardware then stability of control software.</t>
  </si>
  <si>
    <t>Kashif Hafeez</t>
  </si>
  <si>
    <t>Smirnov, Packer</t>
  </si>
  <si>
    <t>Canning ,  Folkes, Prosser, Appleyard, Johnson,Vasilakakos ,Patargias , Packer</t>
  </si>
  <si>
    <t>Site networking is not funded by either SCD or GridPP in GridPP5</t>
  </si>
  <si>
    <t>Machine room operations are now fully funded by SCD in GridPP5</t>
  </si>
  <si>
    <t>The Castor 2.1.15 update has still not been rolled out. The test database system has been rebuilt. However work has not progressd as fast as we would like owing to the limited manpower available.</t>
  </si>
  <si>
    <t xml:space="preserve">Castor "GEN Scratch" storage atrea was decommissioned slightly simplifying the Castor set-up. </t>
  </si>
  <si>
    <t>The migration of the Atlas data from 'C' to 'D' tapes was stared in this period. By end June it was around 50% complete.</t>
  </si>
  <si>
    <t>The Tier1 manager role continues to be covered by 20% of Andrew.</t>
  </si>
  <si>
    <t>There was a failure of the air conditioning to the machine room early in May. Both chillers and pumps stopped. After around 30 minutes the air conditioning (pumps &amp; chillers) was restarted and temperatures fell back down. See blog post at: http://www.gridpp.rl.ac.uk/blog/2016/05/10/r89-water-pump-outage/</t>
  </si>
  <si>
    <t>HAProxy load balancers introduced in front of the production and test FTS3 services. 
One of the three production WMS systems was decommissioned simplifying the service.
Machine Job Features rolled out across batch farm.</t>
  </si>
  <si>
    <t>We are seeing increased usage of the OPN link to/from CERN with the inbound traffic saturating the 10Gbit link for increasingly long periods.
There was a problem with the RAL core networkin mid-April, strating late on a Friday and continuing until the Saturday afternoon. We experienced four significant breaks in connectivity during this period. A fifteen hour outage was been declared in the GOC DB.</t>
  </si>
  <si>
    <t>During the quarter we had only one person in the Database Team  - which is below the critical threshold.
Work on finding a contractor and the recruitment of more DB Admins were actvely followed up.</t>
  </si>
  <si>
    <t>Continue work on the CEPH disk storage project (ECHO)</t>
  </si>
  <si>
    <t>During May and into June there were significant problems with the tape library leading to periods when it was not available. This was caused by three separate issues:
- Significant hardware problem with the fix confused by a spare board failing soon after installation.
- Faulty replacement handbot within the library led to safety concern.
- Problem with library control software hanging.</t>
  </si>
  <si>
    <t>Capacity procurement of disk delivered and readied for putting into ECHO CEPH cluster.</t>
  </si>
  <si>
    <t>One of the two batches of capacity CPU purchases (that from XMA) was put into production at the end of May. We have sufficient capacity in place to meet MOU requirements.</t>
  </si>
  <si>
    <t>Deployment to production of the second  of the batches of capacity CPU purchases (that from HPE) has not yet taken place owing ting to various problems post delivery. However, MOU commitments already met.</t>
  </si>
  <si>
    <t>Taking this as the purchasing plan for spendind within the 2016/17 FY. Plan has been produced but not yet disseminated.</t>
  </si>
  <si>
    <t>July '16</t>
  </si>
  <si>
    <t>3.4.1</t>
  </si>
  <si>
    <t>UK CPU and storage delivered to EGI</t>
    <phoneticPr fontId="6" type="noConversion"/>
  </si>
  <si>
    <t>Monthly timesheets complete by 10th of each month</t>
    <phoneticPr fontId="6" type="noConversion"/>
  </si>
  <si>
    <t>GridPP staff PM delivered as required</t>
  </si>
  <si>
    <t>GOCDB Availability</t>
  </si>
  <si>
    <t>APEL Availability</t>
  </si>
  <si>
    <t>3.4.2</t>
  </si>
  <si>
    <t>3.4.3</t>
  </si>
  <si>
    <t>3.4.4</t>
  </si>
  <si>
    <t>3.4.5</t>
  </si>
  <si>
    <t>Ian Collier</t>
  </si>
  <si>
    <t>&gt;99%</t>
  </si>
  <si>
    <t>1.1.1</t>
  </si>
  <si>
    <t>1.1.2</t>
  </si>
  <si>
    <t>1.1.3</t>
  </si>
  <si>
    <t>1.1.4</t>
  </si>
  <si>
    <t>1.1.5</t>
  </si>
  <si>
    <t>1.1.6</t>
  </si>
  <si>
    <t>1.1.7</t>
  </si>
  <si>
    <t>FY16 Capacity order placed</t>
  </si>
  <si>
    <t>FY16 Purchase in production</t>
  </si>
  <si>
    <t>FY17 Capacity order placed</t>
  </si>
  <si>
    <t>FY17 Purchase in production</t>
  </si>
  <si>
    <t>FY18 Capacity order placed</t>
  </si>
  <si>
    <t>FY18 Purchase in production</t>
  </si>
  <si>
    <t>FY19 Capacity order placed</t>
  </si>
  <si>
    <t>FY19 Purchase in production</t>
  </si>
  <si>
    <t>1.4.1</t>
  </si>
  <si>
    <t>1.4.2</t>
  </si>
  <si>
    <t>1.4.3</t>
  </si>
  <si>
    <t>1.4.4</t>
  </si>
  <si>
    <t>1.4.5</t>
  </si>
  <si>
    <t>1.4.6</t>
  </si>
  <si>
    <t>1.4.7</t>
  </si>
  <si>
    <t>1.4.8</t>
  </si>
  <si>
    <t>1.4.9</t>
  </si>
  <si>
    <t>1.4.10</t>
  </si>
  <si>
    <t>1.4.11</t>
  </si>
  <si>
    <t>1.4.12</t>
  </si>
  <si>
    <t>1.4.13</t>
  </si>
  <si>
    <t>1.4.14</t>
  </si>
  <si>
    <t>1.4.15</t>
  </si>
  <si>
    <t>1.4.16</t>
  </si>
  <si>
    <t>Q316</t>
  </si>
  <si>
    <t>q216</t>
  </si>
  <si>
    <t>q116</t>
  </si>
  <si>
    <t>1.2.1</t>
  </si>
  <si>
    <t>1.2.2</t>
  </si>
  <si>
    <t>1.2.3</t>
  </si>
  <si>
    <t>1.2.4</t>
  </si>
  <si>
    <t>1.2.5</t>
  </si>
  <si>
    <t>1.2.6</t>
  </si>
  <si>
    <t>1.2.7</t>
  </si>
  <si>
    <t>1.2.8</t>
  </si>
  <si>
    <t>1.2.9</t>
  </si>
  <si>
    <t>1.2.10</t>
  </si>
  <si>
    <t>1.2.11</t>
  </si>
  <si>
    <t>1.2.12</t>
  </si>
  <si>
    <t>1.3.1</t>
  </si>
  <si>
    <t>1.3.2</t>
  </si>
  <si>
    <t>1.3.3</t>
  </si>
  <si>
    <t>1.3.4</t>
  </si>
  <si>
    <t>1.3.5</t>
  </si>
  <si>
    <t>1.3.6</t>
  </si>
  <si>
    <t>1.3.7</t>
  </si>
  <si>
    <t>1.3.8</t>
  </si>
  <si>
    <t>1.3.9</t>
  </si>
  <si>
    <t>1.3.10</t>
  </si>
  <si>
    <t>1.3.11</t>
  </si>
  <si>
    <t>NGI</t>
  </si>
  <si>
    <t>Comment Q316</t>
  </si>
  <si>
    <t>APEL</t>
  </si>
  <si>
    <t>GOCDB</t>
  </si>
  <si>
    <t>One members of staff left at the end of this quarter:
Tiju Idiculla (Productio Team)
In addition one person reduced their hours (to around 45%) at the end of August:
Gareth Smith (Production Team)</t>
  </si>
  <si>
    <t>The second  of the batches of capacity CPU purchases (that from HPE) is not yet in full production. It is being used to set-up and test a new configuration of worker nodes for use with CEPH. (These will run SL7 with an xroot gateway with the "worker node" in a SL6 container.)</t>
  </si>
  <si>
    <t xml:space="preserve">Significant loss in effort in Production Team. </t>
  </si>
  <si>
    <t>We have sufficient capacity in place to meet MOU requirements.
The LSST VO was enabled on the batch farm at the end of July.</t>
  </si>
  <si>
    <t xml:space="preserve">Three disk servers each of 57TB capacity have been deployed into each of the following tape caches: AtlasTape, cmsTape, lhcbRawRdst. (I.e. a total of nine servers) at the end of July. </t>
  </si>
  <si>
    <t>Problems reported in last quarter on the tape libraries were resolved early in July. Since then these have operated stably.
The migration of the Atlas data from 'C' to 'D' tapes was completed in August. Additional 'D' drives have been ordered  (and at the time of this report delivered) to provide additional capacity ahead of migrating the LHCb data.</t>
  </si>
  <si>
    <t>At the end of August there was a problem with packet loss seen across a part of the Tier1 network. Finally traced to a faulty transceiver which was replaced.</t>
  </si>
  <si>
    <t>The database behind the LFC was moved to new hardware at the start of August.
During September services running on the Microsoft Hyper-V 2008 infrastructure were moved to the Hyper-V 2012 infrastrcucture.</t>
  </si>
  <si>
    <t xml:space="preserve">A brief power dip affected parts of the RAL site on Wedesday afternoon, 14th Sep. The R89 machine room was OK. However, it was seen by equipment in the Atlas building. This had no affect on our services. </t>
  </si>
  <si>
    <t xml:space="preserve">Following saturation of the single 'primary' 10Gbit OPN link at the start of this quarter the OPN connection was reconfigured to use both 10Gbit links at the start of August.
On Wednesday 5th October (just after period of report) the UKLight Router was replaced. This has also enabled a a 40 GBit connection to the RAL border routers (i.e. giving a datapath of up to 40Gbit for the bypass connection.) We have seen a significant increase in traffic over the bypass route since this change - well exceeding the previous 10Gbit limit. </t>
  </si>
  <si>
    <t>Contractor (Phani Yeluri) started to work in Database Team in early July.</t>
  </si>
  <si>
    <t>STFC has been unable to prioritise IPV6 developments necessary to allow the Tier-1 to to meet its WLCG milestone of Perfsonar access over IPV6.</t>
  </si>
  <si>
    <t>Tier-1 is setting up a new network management meeting that will include members of site networking group to oversee tier-1 network projects. Tier-1 service manager has been invited to attend the STFC NetTDA where site network development priorities are set.</t>
  </si>
  <si>
    <t>A purchasing plan swas produced but changes in the amount of money available require the plan to be re-visited.</t>
  </si>
  <si>
    <t>Taking this as the purchasing plan for spendind within the 2016/17 FY. A plan was produced but has had to be changed as some spend originally earmarked for Tier2s is being moved to the Tier1.</t>
  </si>
  <si>
    <t>Nov '16</t>
  </si>
  <si>
    <t>Needs the plan to be finalised.</t>
  </si>
  <si>
    <t>Changes to purchasing plan may add delays and lead to purchasing items earlier at less favourable prices/performance.</t>
  </si>
  <si>
    <t>Purchasing against the revised plan will be prioritsied to expedite the processing and examined thoroughly.</t>
  </si>
  <si>
    <t>Propose Oct/Nov '16</t>
  </si>
  <si>
    <t>1.4.1 Produce the purchasing plan</t>
  </si>
  <si>
    <t>1.4.2 FY16 Capacity order placed</t>
  </si>
  <si>
    <t>Problem getting this figure for one of months.</t>
  </si>
  <si>
    <t>Smirnov, Packer, Contractor</t>
  </si>
  <si>
    <t>Bly, Hafeez, Harper, Walia, Chambers, Masaitis, Gale</t>
  </si>
  <si>
    <t xml:space="preserve"> 
(98.96, 100, 100) 
== 99.53</t>
  </si>
  <si>
    <t>(100,100,100)
==100</t>
  </si>
  <si>
    <t>Deployed v5.7 onto gocdb-test instance to include cursor-based paging and replace offset-based paging. 
Work with EGI + WLCG InfoSysTF to agree on new extensions for new write API and ServiceEndpoint extensions (longer term aim of reducing WLCG dependency on BDII)</t>
  </si>
  <si>
    <t>No major problems encountered. Service ran smoothly during this period. Response time for GGUS tickets well within OLA. Improved engagement with GridPP through attendance at GridPP37</t>
  </si>
  <si>
    <t>Period saw reduced staff numbers due to leave. However, only three days had no core APEL staff available and some limited cover was provided by colleagues.</t>
  </si>
  <si>
    <t>Q416</t>
  </si>
  <si>
    <t>Order for CPU &amp; disk storage received by vendor mid-Feb.</t>
  </si>
  <si>
    <t>On the 5th October the UKLight Router was replaced. As part of this the 'bypass' route for Tier1 data to non-OPN nodes was increased from 10 to 40Gbit.</t>
  </si>
  <si>
    <t>A long running problem of low-level packet loss was resolved when the old UKLight router was replaced.</t>
  </si>
  <si>
    <t>The second tranche of worker nodes (from HPE) were reinstalled with SL6 put into service at the start of December. This followed a period of testing with another configuration in readiness for CEPH deployment.</t>
  </si>
  <si>
    <t xml:space="preserve">In early October it was realized we had been running for a long time with a limit on the number of CMS batch jobs that was well below pledge. This limit was then quickly raised. A post mortem carried out to understand how that had arisen.
</t>
  </si>
  <si>
    <t>In early December there was a problem overnight with one of the Power Distribution Units to a rack in the UPS room which affected two network switches - which in turn affected some core services (including the TopBDII). The same PDU again showed this problem on the 23rd December and was swapped out ahead of the Christmas break.</t>
  </si>
  <si>
    <t xml:space="preserve">Early December the small LhcbUser disk pool was merged into the larger LhcbDst pool. This eased performance issues seen with small disk pools. </t>
  </si>
  <si>
    <t xml:space="preserve">In November additional disk servers were added to Castor: For Alice 5 extra servers, each 100TB. For LHCb 12 additional servers, each 120TB. This will enable both an increase in capacity and the withdrawal of some older (smaller capacity) disk servers.
In December firmware updates on one batch of older disk servers. (Work continued in next quarter on another batch). </t>
  </si>
  <si>
    <t>In response to Security announcement CVE-2016-5195 a number of services were stopped. In essence we stopped the batch system on Monday (24th Oct). Storage (Castor) was able to continue running. These services were resumed two days later after a patch had been received and applied.
In November test data was received from a second Dirac site (Leicester).</t>
  </si>
  <si>
    <t>During this time Production Team effort was significantly reduced with one full time member of staff (who was away for some of the time) plus less than 50% of the Team leader. An apprentice, at RAL for 3 days per week, started working in the team at teh start of a 6-month placement.</t>
  </si>
  <si>
    <t>Use of a contactor continued during this time as the database team was down to one member of staff. (When did Miguel start??)</t>
  </si>
  <si>
    <t>CASTOR/Tape/CEPH</t>
  </si>
  <si>
    <t>Ryall, Meredith</t>
  </si>
  <si>
    <t>Coveney, Corbett</t>
  </si>
  <si>
    <t>In November started writing LHCb data to the 'D' tapes and migrating their data onto these.</t>
  </si>
  <si>
    <t xml:space="preserve">GOCDB v5.7 was released into production, which inclues: a new write API for custom properties (as requested by WLCG InfoSys TF); optional cursor paging of API methods; and new attributes for some entities to enable ARGO monitoring to move away from relying on the BDII. 
A number of new service types have been added which have been contributed to GLUE2.   
No OLA violations for availability/reliablity and response times. </t>
  </si>
  <si>
    <t>No major issues</t>
  </si>
  <si>
    <t>Q117</t>
  </si>
  <si>
    <t>Comment Q416</t>
  </si>
  <si>
    <t>Comment Q117</t>
  </si>
  <si>
    <t>1.6.3</t>
  </si>
  <si>
    <t>1.6.1</t>
  </si>
  <si>
    <t>1.6.2</t>
  </si>
  <si>
    <t>7.3.1</t>
  </si>
  <si>
    <t>5.1.1</t>
  </si>
  <si>
    <t>5.1.2</t>
  </si>
  <si>
    <t>5.1.3</t>
  </si>
  <si>
    <t>5.1.4</t>
  </si>
  <si>
    <t>7.3.4</t>
  </si>
  <si>
    <t>1.2.13</t>
  </si>
  <si>
    <t>1.2.14</t>
  </si>
  <si>
    <t>1.2.4 &amp; 1.2.5</t>
  </si>
  <si>
    <t>4.1.2</t>
  </si>
  <si>
    <t>1.6.4</t>
  </si>
  <si>
    <t>1.6.5</t>
  </si>
  <si>
    <t>1.6.6</t>
  </si>
  <si>
    <t>7.3.5</t>
  </si>
  <si>
    <t>7.1.3</t>
  </si>
  <si>
    <t>7.1.4</t>
  </si>
  <si>
    <t>ECHO</t>
  </si>
  <si>
    <t>Castor was updated to version 2.1.15 during January/February.
At the end of the quarter a start was made on upgrading the SRMs to version 2.1.16 (and to run on SL6) although performance problems were subsequently encountered.</t>
  </si>
  <si>
    <t>CEPH ECHO: There was a problem with one 'placement group' that resulted in a loss of data (2000 Atlas files). This has been followed up and understood - in conjunction with the CEPH developers and was presented in a CEPH forum. The understanding gained means that should this recur there would be no data loss.</t>
  </si>
  <si>
    <t xml:space="preserve">Two of the chillers were replaced. One of those replaced had partly failed. </t>
  </si>
  <si>
    <t>There were two problems when a hypervisor in the Hyper-V virtual infrastructure crashing. The VMs were recovered but there was an effect on services while this happened.</t>
  </si>
  <si>
    <t>IPv6 has been enabled on the various routers and in early March was available through to the Tier1 production network. Ahead of that IPv6 was disabled on systems (via quattor) and will be re-enabled on a case-by-case basis. The perfsonar nodes on the production Tier1 network now also run tests over IPv6.</t>
  </si>
  <si>
    <t>At the start of the year firmware updates were made to RAID cards in the Viglen '13 batch of disk servers.
Some of the 100TB  ’14 generation disk servershave been delpoyed in Castor. (These servers were originally used to test CEPH).</t>
  </si>
  <si>
    <t>Production team running well below staff complement. The plavcement of an apprentice in the team for siix months (Oct '16 - Mar '17) is helping.</t>
  </si>
  <si>
    <t>The Tier1 manager role continues to be covered by 20% of Andrew.
Database team now up to strength with two members of staff.</t>
  </si>
  <si>
    <t xml:space="preserve">The site and Top BDIIs were put behind load balancers.
A review of WMS usage shows ongoing interest in this service. </t>
  </si>
  <si>
    <t>Migration of LHCb data from 'C' to 'D' tapes has been completed. All Tier1 data is now on T10KD tapes.
Migration of services off SL5 as it has reached end of life.</t>
  </si>
  <si>
    <t>In February ECHO was upgraded to the kraken version of CEPH. Resiliency tests have also been carried out.
Two additional 'MON' boxes are being set-up bringing the total to five. The existing three can cope with normal activity but the additional ones would speed up recoveries and starts. Two additional gateway nodes are also being set-up (also bringing the total to five) which will improve bandwidth. 
Out of hours cover by the ECHO team is being piloted.</t>
  </si>
  <si>
    <t xml:space="preserve"> Following the upgrade of the GEN instance to 2.1.15 there was a problem with ALICE access as a special version of the xroot component is needed which we did not have available. This caused a significant loss of availability for ALICE (failed between the 26th and 30th January)
There were a number of instances of problems with Castor access during this quarter. </t>
  </si>
  <si>
    <t>Equipment delivered but time needed for cabling and testing.</t>
  </si>
  <si>
    <t>The orders were placed and equipment received by the end of the FY.</t>
  </si>
  <si>
    <t>1.4.3.  FY16 Purchase in production</t>
  </si>
  <si>
    <t>1.4.4.  Tier-1 WLCG MoU commitments met</t>
  </si>
  <si>
    <t>1.4.5. Produce the purchasing plan</t>
  </si>
  <si>
    <t>April '17</t>
  </si>
  <si>
    <t>May '17</t>
  </si>
  <si>
    <t>June '17</t>
  </si>
  <si>
    <t>Equipment delivered but time needed for cabling and testing. Will be late.</t>
  </si>
  <si>
    <t>STFC recognises that delays in the SBS procurement process are a risk to the whole organisation. STFC has introduced its own oversight of this process. The Tier1 will need to commence its procurements significantly earlier than last year in order to meet its deadlines.
The purcahsing of the FY16 equipment was done at the very last minute (and equipment received just before the end of the FY). Use as made of an existing Framework agreement to achieve this.</t>
  </si>
  <si>
    <t>CERN will stop support for Castor.</t>
  </si>
  <si>
    <t>CERN have announces a replacement for Castor (for tape). An evaluation of the best way forward for future tape storage is being made.</t>
  </si>
  <si>
    <t>Oracle withdraw support for existing Tape infrastucture.</t>
  </si>
  <si>
    <t>Oracle have indicated that the next generation of tape drives/mdeia will not be produced. Track Oracle timeline for tape/media/librray support and be aware of the directions being taken by other sites.</t>
  </si>
  <si>
    <t>CEPH ECHO will not deliver storage reliably or be able to deliver the necessary access bandwidth.</t>
  </si>
  <si>
    <t>Tight management of the ECHO project is carefuly monitoring progress. A detailed risk register for ECHO has been produced.</t>
  </si>
  <si>
    <t>Escalated problem LHCb had with Castor while running stipping/merging campain. Led to reverting LHCb Castor SRM upgrade.</t>
  </si>
  <si>
    <t>Missing ALICE-specific xroot component after Castor 2.1.15 upgrade led to several days of test failure (inlcuing a weekend).</t>
  </si>
  <si>
    <t>See comment for metric 1.2.9.</t>
  </si>
  <si>
    <t>See comment for metric 1.2.8.</t>
  </si>
  <si>
    <t>There have been sporadic failures of the CMS SAM tests against the SRMs (timeouts) throught this period. Effort was directed at Castor upgrades (SRM and then Castor itself to improve this).</t>
  </si>
  <si>
    <t>See comment for metric 1.2.10 above. Plus in March CMS CE tests suffered from aa problem with argus plus another when a Hyperviosor failed affecting a number of virtual machines. This in turn affected CMS CE tests.</t>
  </si>
  <si>
    <t>Sporadic SRM test failures through the quarter. Some specific problems with the SRM led to more test failures on one or two days.</t>
  </si>
  <si>
    <t>See comment for metric 1.2.11.</t>
  </si>
  <si>
    <t>There were several spells of poor test results for Talas. The first (early Feb) coincided with a tape recall exercise and tests time out. There were then two further spells of test failures (late Feb, early March). We identified that the Atlas Test was not specifying a space token on write and then (depending on what else was going on) the file was not found in later stages of the SRM test.</t>
  </si>
  <si>
    <t xml:space="preserve">Smirnov, Packer, </t>
  </si>
  <si>
    <t>Reduced developer effort during Q117 (GR ~1mth leave, DM reduced effort). 
No major issues.</t>
  </si>
  <si>
    <t>(99.97, 99.61, 100)
==99.86</t>
  </si>
  <si>
    <t xml:space="preserve">EGI Ops Tools Advisory Group to prioritise GOCDB roadmap until the end of EGI-Engage: https://indico.egi.eu/indico/event/3296/ 
Roadmap updated: https://wiki.egi.eu/wiki/EGI-Engage:TASK_JRA1.4_Operations_Tools#GOCDB 
Work started on write API extensions. 
Work to virtualise the GOCDB failover instance under way.  
Downtime classification changes for Scheduled/Unscheduled downtimes presented to EGI, no resolution yet, ongoing. 
</t>
  </si>
  <si>
    <t xml:space="preserve">Waiting on EGI to publish their stats. A quick look at Nagios over the quarter shows no availability issues. </t>
  </si>
  <si>
    <t>No major problems encountered. Service ran smoothly during this period. Response time for GGUS tickets well within OLA. Most machines migrated off SL5.</t>
  </si>
  <si>
    <t>Delayed hardware has meant that one machine is yet to be migrated off SL5. John Gordon retired in this period, but still in touch and helping occasionally.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</si>
</sst>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0.000"/>
    <numFmt numFmtId="165" formatCode="0.0"/>
    <numFmt numFmtId="166" formatCode="0.0%"/>
  </numFmts>
  <fonts count="13" x14ac:knownFonts="1">
    <font>
      <sz val="10"/>
      <name val="Arial"/>
    </font>
    <font>
      <sz val="10"/>
      <name val="Arial"/>
      <family val="2"/>
    </font>
    <font>
      <b/>
      <sz val="10"/>
      <name val="Arial"/>
      <family val="2"/>
    </font>
    <font>
      <b/>
      <sz val="10"/>
      <name val="Arial"/>
      <family val="2"/>
    </font>
    <font>
      <sz val="10"/>
      <name val="Arial"/>
      <family val="2"/>
    </font>
    <font>
      <sz val="8"/>
      <color indexed="81"/>
      <name val="Tahoma"/>
      <family val="2"/>
    </font>
    <font>
      <sz val="12"/>
      <name val="Arial"/>
      <family val="2"/>
    </font>
    <font>
      <b/>
      <sz val="12"/>
      <name val="Arial"/>
      <family val="2"/>
    </font>
    <font>
      <u/>
      <sz val="10"/>
      <color theme="10"/>
      <name val="Arial"/>
      <family val="2"/>
    </font>
    <font>
      <u/>
      <sz val="10"/>
      <color theme="11"/>
      <name val="Arial"/>
      <family val="2"/>
    </font>
    <font>
      <sz val="10"/>
      <color rgb="FFFF0000"/>
      <name val="Arial"/>
      <family val="2"/>
    </font>
    <font>
      <b/>
      <sz val="9"/>
      <color indexed="81"/>
      <name val="Tahoma"/>
      <family val="2"/>
    </font>
    <font>
      <sz val="9"/>
      <color indexed="81"/>
      <name val="Tahoma"/>
      <family val="2"/>
    </font>
  </fonts>
  <fills count="19">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11"/>
        <bgColor indexed="64"/>
      </patternFill>
    </fill>
    <fill>
      <patternFill patternType="solid">
        <fgColor indexed="10"/>
        <bgColor indexed="64"/>
      </patternFill>
    </fill>
    <fill>
      <patternFill patternType="solid">
        <fgColor indexed="8"/>
        <bgColor indexed="64"/>
      </patternFill>
    </fill>
    <fill>
      <patternFill patternType="solid">
        <fgColor indexed="52"/>
        <bgColor indexed="64"/>
      </patternFill>
    </fill>
    <fill>
      <patternFill patternType="solid">
        <fgColor indexed="46"/>
        <bgColor indexed="64"/>
      </patternFill>
    </fill>
    <fill>
      <patternFill patternType="solid">
        <fgColor indexed="12"/>
        <bgColor indexed="64"/>
      </patternFill>
    </fill>
    <fill>
      <patternFill patternType="solid">
        <fgColor indexed="40"/>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rgb="FF7030A0"/>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theme="9"/>
        <bgColor indexed="64"/>
      </patternFill>
    </fill>
  </fills>
  <borders count="83">
    <border>
      <left/>
      <right/>
      <top/>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medium">
        <color auto="1"/>
      </top>
      <bottom style="medium">
        <color auto="1"/>
      </bottom>
      <diagonal/>
    </border>
    <border>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medium">
        <color auto="1"/>
      </bottom>
      <diagonal/>
    </border>
    <border>
      <left style="medium">
        <color auto="1"/>
      </left>
      <right/>
      <top style="thin">
        <color auto="1"/>
      </top>
      <bottom style="medium">
        <color auto="1"/>
      </bottom>
      <diagonal/>
    </border>
    <border>
      <left/>
      <right/>
      <top style="medium">
        <color auto="1"/>
      </top>
      <bottom/>
      <diagonal/>
    </border>
    <border>
      <left/>
      <right/>
      <top/>
      <bottom style="thin">
        <color auto="1"/>
      </bottom>
      <diagonal/>
    </border>
    <border>
      <left/>
      <right style="medium">
        <color auto="1"/>
      </right>
      <top/>
      <bottom style="thin">
        <color auto="1"/>
      </bottom>
      <diagonal/>
    </border>
    <border>
      <left/>
      <right/>
      <top style="thin">
        <color auto="1"/>
      </top>
      <bottom/>
      <diagonal/>
    </border>
    <border>
      <left style="thin">
        <color indexed="64"/>
      </left>
      <right/>
      <top style="thin">
        <color indexed="64"/>
      </top>
      <bottom/>
      <diagonal/>
    </border>
    <border>
      <left style="thick">
        <color auto="1"/>
      </left>
      <right style="medium">
        <color auto="1"/>
      </right>
      <top style="thick">
        <color auto="1"/>
      </top>
      <bottom style="thin">
        <color auto="1"/>
      </bottom>
      <diagonal/>
    </border>
    <border>
      <left style="thin">
        <color auto="1"/>
      </left>
      <right style="medium">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medium">
        <color auto="1"/>
      </right>
      <top style="thin">
        <color auto="1"/>
      </top>
      <bottom style="thin">
        <color auto="1"/>
      </bottom>
      <diagonal/>
    </border>
    <border>
      <left style="thin">
        <color auto="1"/>
      </left>
      <right style="thick">
        <color auto="1"/>
      </right>
      <top style="thin">
        <color auto="1"/>
      </top>
      <bottom style="thin">
        <color auto="1"/>
      </bottom>
      <diagonal/>
    </border>
    <border>
      <left/>
      <right style="thick">
        <color auto="1"/>
      </right>
      <top/>
      <bottom/>
      <diagonal/>
    </border>
    <border>
      <left style="thick">
        <color auto="1"/>
      </left>
      <right style="medium">
        <color auto="1"/>
      </right>
      <top style="thin">
        <color auto="1"/>
      </top>
      <bottom style="thick">
        <color auto="1"/>
      </bottom>
      <diagonal/>
    </border>
    <border>
      <left style="thin">
        <color auto="1"/>
      </left>
      <right style="medium">
        <color auto="1"/>
      </right>
      <top style="thin">
        <color auto="1"/>
      </top>
      <bottom style="thick">
        <color auto="1"/>
      </bottom>
      <diagonal/>
    </border>
    <border>
      <left style="thin">
        <color auto="1"/>
      </left>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thin">
        <color indexed="64"/>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diagonal/>
    </border>
  </borders>
  <cellStyleXfs count="140">
    <xf numFmtId="0" fontId="0" fillId="0" borderId="0"/>
    <xf numFmtId="0" fontId="4" fillId="0" borderId="0"/>
    <xf numFmtId="0" fontId="1"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4" fontId="1" fillId="0" borderId="0" applyFont="0" applyFill="0" applyBorder="0" applyAlignment="0" applyProtection="0"/>
  </cellStyleXfs>
  <cellXfs count="445">
    <xf numFmtId="0" fontId="0" fillId="0" borderId="0" xfId="0"/>
    <xf numFmtId="0" fontId="2" fillId="0" borderId="0" xfId="0" applyFont="1"/>
    <xf numFmtId="0" fontId="3" fillId="3" borderId="11" xfId="0" applyFont="1" applyFill="1" applyBorder="1"/>
    <xf numFmtId="0" fontId="0" fillId="3" borderId="12" xfId="0" applyFill="1" applyBorder="1"/>
    <xf numFmtId="0" fontId="3" fillId="2" borderId="13" xfId="0" applyFont="1" applyFill="1" applyBorder="1"/>
    <xf numFmtId="0" fontId="3" fillId="2" borderId="14" xfId="0" applyFont="1" applyFill="1" applyBorder="1"/>
    <xf numFmtId="0" fontId="3" fillId="3" borderId="1" xfId="0" applyFont="1" applyFill="1" applyBorder="1"/>
    <xf numFmtId="0" fontId="3" fillId="3" borderId="16" xfId="0" applyFont="1" applyFill="1" applyBorder="1"/>
    <xf numFmtId="0" fontId="3" fillId="3" borderId="3" xfId="0" applyFont="1" applyFill="1" applyBorder="1"/>
    <xf numFmtId="0" fontId="0" fillId="3" borderId="15" xfId="0" applyFill="1" applyBorder="1"/>
    <xf numFmtId="0" fontId="3" fillId="2" borderId="11" xfId="0" applyFont="1" applyFill="1" applyBorder="1"/>
    <xf numFmtId="0" fontId="0" fillId="4" borderId="5" xfId="0" applyFill="1" applyBorder="1"/>
    <xf numFmtId="0" fontId="0" fillId="0" borderId="8" xfId="0" applyBorder="1"/>
    <xf numFmtId="0" fontId="0" fillId="5" borderId="18" xfId="0" applyFill="1" applyBorder="1"/>
    <xf numFmtId="0" fontId="0" fillId="0" borderId="19" xfId="0" applyBorder="1"/>
    <xf numFmtId="0" fontId="0" fillId="0" borderId="18" xfId="0" applyFill="1" applyBorder="1"/>
    <xf numFmtId="0" fontId="0" fillId="6" borderId="20" xfId="0" applyFill="1" applyBorder="1"/>
    <xf numFmtId="0" fontId="0" fillId="0" borderId="21" xfId="0" applyBorder="1"/>
    <xf numFmtId="0" fontId="3" fillId="2" borderId="22" xfId="0" applyFont="1" applyFill="1" applyBorder="1"/>
    <xf numFmtId="0" fontId="0" fillId="0" borderId="23" xfId="0" applyFill="1" applyBorder="1"/>
    <xf numFmtId="0" fontId="0" fillId="0" borderId="24" xfId="0" applyFill="1" applyBorder="1"/>
    <xf numFmtId="0" fontId="0" fillId="0" borderId="12" xfId="0" applyFill="1" applyBorder="1"/>
    <xf numFmtId="0" fontId="0" fillId="0" borderId="25" xfId="0" applyFill="1" applyBorder="1"/>
    <xf numFmtId="0" fontId="1" fillId="7" borderId="18" xfId="0" applyFont="1" applyFill="1" applyBorder="1"/>
    <xf numFmtId="0" fontId="0" fillId="4" borderId="26" xfId="0" applyFill="1" applyBorder="1"/>
    <xf numFmtId="0" fontId="0" fillId="5" borderId="27" xfId="0" applyFill="1" applyBorder="1"/>
    <xf numFmtId="0" fontId="0" fillId="8" borderId="27" xfId="0" applyFill="1" applyBorder="1"/>
    <xf numFmtId="0" fontId="0" fillId="0" borderId="0" xfId="0" applyAlignment="1">
      <alignment wrapText="1"/>
    </xf>
    <xf numFmtId="0" fontId="0" fillId="0" borderId="0" xfId="0" applyFill="1" applyBorder="1"/>
    <xf numFmtId="0" fontId="3" fillId="2" borderId="0" xfId="0" applyFont="1" applyFill="1" applyBorder="1"/>
    <xf numFmtId="0" fontId="0" fillId="0" borderId="0" xfId="0" applyFill="1"/>
    <xf numFmtId="0" fontId="4" fillId="0" borderId="0" xfId="0" applyFont="1" applyFill="1" applyBorder="1" applyAlignment="1">
      <alignment horizontal="left" vertical="top" wrapText="1"/>
    </xf>
    <xf numFmtId="15" fontId="4" fillId="0" borderId="0" xfId="0" applyNumberFormat="1" applyFont="1" applyFill="1" applyBorder="1" applyAlignment="1">
      <alignment horizontal="center" vertical="top" wrapText="1"/>
    </xf>
    <xf numFmtId="0" fontId="0" fillId="7" borderId="0" xfId="0" applyFill="1"/>
    <xf numFmtId="0" fontId="0" fillId="0" borderId="30" xfId="0" applyFill="1" applyBorder="1" applyAlignment="1">
      <alignment wrapText="1"/>
    </xf>
    <xf numFmtId="0" fontId="0" fillId="0" borderId="23" xfId="0" applyFill="1" applyBorder="1" applyAlignment="1">
      <alignment wrapText="1"/>
    </xf>
    <xf numFmtId="0" fontId="3" fillId="0" borderId="0" xfId="0" applyFont="1" applyFill="1" applyBorder="1"/>
    <xf numFmtId="164" fontId="3" fillId="2" borderId="27" xfId="0" applyNumberFormat="1" applyFont="1" applyFill="1" applyBorder="1" applyAlignment="1">
      <alignment wrapText="1"/>
    </xf>
    <xf numFmtId="0" fontId="0" fillId="0" borderId="33" xfId="0" applyBorder="1"/>
    <xf numFmtId="0" fontId="4" fillId="0" borderId="33" xfId="0" applyFont="1" applyFill="1" applyBorder="1" applyAlignment="1">
      <alignment horizontal="left" vertical="top" wrapText="1"/>
    </xf>
    <xf numFmtId="9" fontId="4" fillId="0" borderId="34" xfId="0" applyNumberFormat="1" applyFont="1" applyFill="1" applyBorder="1" applyAlignment="1">
      <alignment horizontal="left" vertical="top" wrapText="1"/>
    </xf>
    <xf numFmtId="0" fontId="4" fillId="0" borderId="34" xfId="0" applyFont="1" applyFill="1" applyBorder="1" applyAlignment="1">
      <alignment horizontal="left" vertical="top" wrapText="1"/>
    </xf>
    <xf numFmtId="0" fontId="3" fillId="2" borderId="31" xfId="0" applyFont="1" applyFill="1" applyBorder="1" applyAlignment="1">
      <alignment wrapText="1"/>
    </xf>
    <xf numFmtId="0" fontId="3" fillId="2" borderId="36" xfId="0" applyFont="1" applyFill="1" applyBorder="1" applyAlignment="1">
      <alignment wrapText="1"/>
    </xf>
    <xf numFmtId="0" fontId="4" fillId="0" borderId="32" xfId="0" applyFont="1" applyFill="1" applyBorder="1" applyAlignment="1">
      <alignment horizontal="left" vertical="top" wrapText="1"/>
    </xf>
    <xf numFmtId="9" fontId="4" fillId="0" borderId="38" xfId="0" applyNumberFormat="1" applyFont="1" applyFill="1" applyBorder="1" applyAlignment="1">
      <alignment horizontal="left" vertical="top" wrapText="1"/>
    </xf>
    <xf numFmtId="0" fontId="0" fillId="0" borderId="4" xfId="0" applyBorder="1" applyAlignment="1">
      <alignment wrapText="1"/>
    </xf>
    <xf numFmtId="0" fontId="0" fillId="0" borderId="39" xfId="0" applyBorder="1" applyAlignment="1">
      <alignment wrapText="1"/>
    </xf>
    <xf numFmtId="0" fontId="0" fillId="0" borderId="40" xfId="0" applyBorder="1" applyAlignment="1">
      <alignment wrapText="1"/>
    </xf>
    <xf numFmtId="0" fontId="2" fillId="3" borderId="5" xfId="0" applyFont="1" applyFill="1" applyBorder="1" applyAlignment="1">
      <alignment wrapText="1"/>
    </xf>
    <xf numFmtId="0" fontId="3" fillId="0" borderId="0" xfId="0" applyFont="1"/>
    <xf numFmtId="0" fontId="0" fillId="9" borderId="0" xfId="0" applyFill="1"/>
    <xf numFmtId="0" fontId="0" fillId="10" borderId="0" xfId="0" applyFill="1"/>
    <xf numFmtId="0" fontId="0" fillId="0" borderId="47" xfId="0" applyBorder="1" applyAlignment="1">
      <alignment horizontal="center" vertical="center" wrapText="1"/>
    </xf>
    <xf numFmtId="14" fontId="0" fillId="0" borderId="48" xfId="0" applyNumberFormat="1" applyBorder="1" applyAlignment="1">
      <alignment horizontal="center" vertical="center" wrapText="1"/>
    </xf>
    <xf numFmtId="0" fontId="4" fillId="0" borderId="48" xfId="0" applyFont="1" applyBorder="1" applyAlignment="1">
      <alignment horizontal="left" vertical="center" wrapText="1"/>
    </xf>
    <xf numFmtId="0" fontId="0" fillId="0" borderId="49" xfId="0" applyBorder="1" applyAlignment="1">
      <alignment horizontal="left" vertical="center" wrapText="1"/>
    </xf>
    <xf numFmtId="0" fontId="0" fillId="0" borderId="43" xfId="0" applyBorder="1" applyAlignment="1">
      <alignment horizontal="left" vertical="center" wrapText="1"/>
    </xf>
    <xf numFmtId="0" fontId="4" fillId="0" borderId="2" xfId="0" applyFont="1" applyBorder="1" applyAlignment="1">
      <alignment horizontal="left" vertical="center" wrapText="1"/>
    </xf>
    <xf numFmtId="0" fontId="0" fillId="0" borderId="17" xfId="0" applyBorder="1" applyAlignment="1">
      <alignment horizontal="left" vertical="center" wrapText="1"/>
    </xf>
    <xf numFmtId="0" fontId="0" fillId="0" borderId="50" xfId="0" applyBorder="1" applyAlignment="1">
      <alignment horizontal="left" vertical="center" wrapText="1"/>
    </xf>
    <xf numFmtId="0" fontId="2" fillId="3" borderId="16" xfId="0" applyFont="1" applyFill="1" applyBorder="1"/>
    <xf numFmtId="0" fontId="4" fillId="0" borderId="0" xfId="0" applyFont="1"/>
    <xf numFmtId="0" fontId="0" fillId="8" borderId="0" xfId="0" applyFill="1"/>
    <xf numFmtId="0" fontId="2" fillId="0" borderId="28" xfId="0" applyFont="1" applyFill="1" applyBorder="1" applyAlignment="1">
      <alignment vertical="center" wrapText="1"/>
    </xf>
    <xf numFmtId="0" fontId="2" fillId="0" borderId="31" xfId="0" applyFont="1" applyFill="1" applyBorder="1" applyAlignment="1">
      <alignment vertical="center" wrapText="1"/>
    </xf>
    <xf numFmtId="0" fontId="3" fillId="0" borderId="31" xfId="0" applyFont="1" applyFill="1" applyBorder="1" applyAlignment="1">
      <alignment vertical="center" wrapText="1"/>
    </xf>
    <xf numFmtId="0" fontId="2" fillId="0" borderId="29" xfId="0" applyFont="1" applyFill="1" applyBorder="1" applyAlignment="1">
      <alignment vertical="center" wrapText="1"/>
    </xf>
    <xf numFmtId="0" fontId="4" fillId="11" borderId="33" xfId="0" applyFont="1" applyFill="1" applyBorder="1" applyAlignment="1">
      <alignment wrapText="1"/>
    </xf>
    <xf numFmtId="9" fontId="4" fillId="12" borderId="34" xfId="0" applyNumberFormat="1" applyFont="1" applyFill="1" applyBorder="1" applyAlignment="1">
      <alignment horizontal="left" vertical="top" wrapText="1"/>
    </xf>
    <xf numFmtId="2" fontId="0" fillId="0" borderId="0" xfId="0" applyNumberFormat="1" applyFill="1"/>
    <xf numFmtId="0" fontId="1" fillId="0" borderId="23" xfId="0" applyFont="1" applyFill="1" applyBorder="1"/>
    <xf numFmtId="164" fontId="2" fillId="2" borderId="27" xfId="0" applyNumberFormat="1" applyFont="1" applyFill="1" applyBorder="1" applyAlignment="1">
      <alignment wrapText="1"/>
    </xf>
    <xf numFmtId="164" fontId="3" fillId="0" borderId="27" xfId="0" applyNumberFormat="1" applyFont="1" applyFill="1" applyBorder="1" applyAlignment="1">
      <alignment wrapText="1"/>
    </xf>
    <xf numFmtId="0" fontId="3" fillId="0" borderId="31" xfId="0" applyFont="1" applyFill="1" applyBorder="1" applyAlignment="1">
      <alignment wrapText="1"/>
    </xf>
    <xf numFmtId="0" fontId="0" fillId="0" borderId="33" xfId="0" applyFill="1" applyBorder="1" applyAlignment="1">
      <alignment wrapText="1"/>
    </xf>
    <xf numFmtId="164" fontId="3" fillId="0" borderId="35" xfId="0" applyNumberFormat="1" applyFont="1" applyFill="1" applyBorder="1" applyAlignment="1">
      <alignment wrapText="1"/>
    </xf>
    <xf numFmtId="0" fontId="3" fillId="0" borderId="36" xfId="0" applyFont="1" applyFill="1" applyBorder="1" applyAlignment="1">
      <alignment wrapText="1"/>
    </xf>
    <xf numFmtId="0" fontId="0" fillId="0" borderId="37" xfId="0" applyFill="1" applyBorder="1" applyAlignment="1">
      <alignment wrapText="1"/>
    </xf>
    <xf numFmtId="0" fontId="0" fillId="0" borderId="32" xfId="0" applyFill="1" applyBorder="1" applyAlignment="1">
      <alignment wrapText="1"/>
    </xf>
    <xf numFmtId="0" fontId="0" fillId="0" borderId="25" xfId="0" applyFill="1" applyBorder="1" applyAlignment="1">
      <alignment wrapText="1"/>
    </xf>
    <xf numFmtId="0" fontId="2" fillId="3" borderId="23" xfId="0" applyFont="1" applyFill="1" applyBorder="1" applyAlignment="1">
      <alignment wrapText="1"/>
    </xf>
    <xf numFmtId="0" fontId="2" fillId="3" borderId="12" xfId="0" applyFont="1" applyFill="1" applyBorder="1" applyAlignment="1">
      <alignment wrapText="1"/>
    </xf>
    <xf numFmtId="0" fontId="2" fillId="2" borderId="25" xfId="0" applyFont="1" applyFill="1" applyBorder="1" applyAlignment="1">
      <alignment wrapText="1"/>
    </xf>
    <xf numFmtId="0" fontId="2" fillId="2" borderId="23" xfId="0" applyFont="1" applyFill="1" applyBorder="1" applyAlignment="1">
      <alignment wrapText="1"/>
    </xf>
    <xf numFmtId="0" fontId="2" fillId="3" borderId="25" xfId="0" applyFont="1" applyFill="1" applyBorder="1" applyAlignment="1">
      <alignment wrapText="1"/>
    </xf>
    <xf numFmtId="0" fontId="2" fillId="3" borderId="24" xfId="0" applyFont="1" applyFill="1" applyBorder="1" applyAlignment="1">
      <alignment wrapText="1"/>
    </xf>
    <xf numFmtId="9" fontId="4" fillId="12" borderId="30" xfId="0" applyNumberFormat="1" applyFont="1" applyFill="1" applyBorder="1" applyAlignment="1">
      <alignment horizontal="left" vertical="top" wrapText="1"/>
    </xf>
    <xf numFmtId="9" fontId="4" fillId="12" borderId="33" xfId="0" applyNumberFormat="1" applyFont="1" applyFill="1" applyBorder="1" applyAlignment="1">
      <alignment horizontal="left" vertical="top" wrapText="1"/>
    </xf>
    <xf numFmtId="9" fontId="4" fillId="12" borderId="51" xfId="0" applyNumberFormat="1" applyFont="1" applyFill="1" applyBorder="1" applyAlignment="1">
      <alignment horizontal="left" vertical="top" wrapText="1"/>
    </xf>
    <xf numFmtId="165" fontId="4" fillId="12" borderId="33" xfId="0" applyNumberFormat="1" applyFont="1" applyFill="1" applyBorder="1" applyAlignment="1">
      <alignment horizontal="left" vertical="top" wrapText="1"/>
    </xf>
    <xf numFmtId="1" fontId="4" fillId="0" borderId="34" xfId="0" applyNumberFormat="1" applyFont="1" applyFill="1" applyBorder="1" applyAlignment="1">
      <alignment horizontal="left" vertical="top" wrapText="1"/>
    </xf>
    <xf numFmtId="1" fontId="4" fillId="12" borderId="33" xfId="0" applyNumberFormat="1" applyFont="1" applyFill="1" applyBorder="1" applyAlignment="1">
      <alignment horizontal="left" vertical="top" wrapText="1"/>
    </xf>
    <xf numFmtId="1" fontId="1" fillId="0" borderId="34" xfId="0" applyNumberFormat="1" applyFont="1" applyFill="1" applyBorder="1" applyAlignment="1">
      <alignment horizontal="left" vertical="top" wrapText="1"/>
    </xf>
    <xf numFmtId="0" fontId="1" fillId="0" borderId="0" xfId="0" applyFont="1" applyFill="1" applyAlignment="1">
      <alignment wrapText="1"/>
    </xf>
    <xf numFmtId="0" fontId="1" fillId="0" borderId="23" xfId="0" applyFont="1" applyFill="1" applyBorder="1" applyAlignment="1">
      <alignment wrapText="1"/>
    </xf>
    <xf numFmtId="0" fontId="6" fillId="0" borderId="0" xfId="0" applyFont="1" applyFill="1"/>
    <xf numFmtId="0" fontId="7" fillId="0" borderId="1" xfId="0" applyFont="1" applyFill="1" applyBorder="1"/>
    <xf numFmtId="0" fontId="7" fillId="0" borderId="15" xfId="0" applyFont="1" applyFill="1" applyBorder="1"/>
    <xf numFmtId="0" fontId="7" fillId="0" borderId="22" xfId="0" applyFont="1" applyFill="1" applyBorder="1"/>
    <xf numFmtId="0" fontId="6" fillId="0" borderId="25" xfId="0" applyFont="1" applyFill="1" applyBorder="1"/>
    <xf numFmtId="0" fontId="7" fillId="0" borderId="13" xfId="0" applyFont="1" applyFill="1" applyBorder="1"/>
    <xf numFmtId="0" fontId="7" fillId="0" borderId="14" xfId="0" applyFont="1" applyFill="1" applyBorder="1"/>
    <xf numFmtId="0" fontId="6" fillId="0" borderId="24" xfId="0" applyFont="1" applyFill="1" applyBorder="1"/>
    <xf numFmtId="0" fontId="7" fillId="0" borderId="0" xfId="0" applyFont="1" applyFill="1"/>
    <xf numFmtId="0" fontId="7" fillId="0" borderId="2" xfId="0" applyFont="1" applyFill="1" applyBorder="1" applyAlignment="1">
      <alignment wrapText="1"/>
    </xf>
    <xf numFmtId="0" fontId="7" fillId="0" borderId="17" xfId="0" applyFont="1" applyFill="1" applyBorder="1" applyAlignment="1">
      <alignment wrapText="1"/>
    </xf>
    <xf numFmtId="0" fontId="7" fillId="0" borderId="3" xfId="0" applyFont="1" applyFill="1" applyBorder="1" applyAlignment="1">
      <alignment wrapText="1"/>
    </xf>
    <xf numFmtId="0" fontId="7" fillId="0" borderId="4" xfId="0" applyFont="1" applyFill="1" applyBorder="1" applyAlignment="1">
      <alignment wrapText="1"/>
    </xf>
    <xf numFmtId="0" fontId="7" fillId="0" borderId="5" xfId="0" applyFont="1" applyFill="1" applyBorder="1" applyAlignment="1">
      <alignment wrapText="1"/>
    </xf>
    <xf numFmtId="0" fontId="7" fillId="0" borderId="6" xfId="0" applyFont="1" applyFill="1" applyBorder="1" applyAlignment="1">
      <alignment horizontal="center" wrapText="1"/>
    </xf>
    <xf numFmtId="0" fontId="7" fillId="0" borderId="7" xfId="0" applyFont="1" applyFill="1" applyBorder="1" applyAlignment="1">
      <alignment horizontal="center" wrapText="1"/>
    </xf>
    <xf numFmtId="0" fontId="7" fillId="0" borderId="8" xfId="0" applyFont="1" applyFill="1" applyBorder="1" applyAlignment="1">
      <alignment horizontal="center" wrapText="1"/>
    </xf>
    <xf numFmtId="0" fontId="7" fillId="0" borderId="9" xfId="0" applyFont="1" applyFill="1" applyBorder="1" applyAlignment="1">
      <alignment horizontal="center" wrapText="1"/>
    </xf>
    <xf numFmtId="0" fontId="7" fillId="0" borderId="10" xfId="0" applyFont="1" applyFill="1" applyBorder="1" applyAlignment="1">
      <alignment horizontal="center" wrapText="1"/>
    </xf>
    <xf numFmtId="0" fontId="7" fillId="0" borderId="28" xfId="0" applyFont="1" applyFill="1" applyBorder="1" applyAlignment="1">
      <alignment wrapText="1"/>
    </xf>
    <xf numFmtId="0" fontId="7" fillId="0" borderId="41" xfId="1" applyFont="1" applyFill="1" applyBorder="1"/>
    <xf numFmtId="0" fontId="7" fillId="0" borderId="41" xfId="0" applyFont="1" applyFill="1" applyBorder="1" applyAlignment="1">
      <alignment wrapText="1"/>
    </xf>
    <xf numFmtId="0" fontId="7" fillId="0" borderId="31" xfId="0" applyFont="1" applyFill="1" applyBorder="1" applyAlignment="1">
      <alignment wrapText="1"/>
    </xf>
    <xf numFmtId="0" fontId="7" fillId="0" borderId="42" xfId="1" applyFont="1" applyFill="1" applyBorder="1"/>
    <xf numFmtId="0" fontId="7" fillId="0" borderId="42" xfId="0" applyFont="1" applyFill="1" applyBorder="1" applyAlignment="1">
      <alignment wrapText="1"/>
    </xf>
    <xf numFmtId="0" fontId="7" fillId="0" borderId="20" xfId="0" applyFont="1" applyFill="1" applyBorder="1"/>
    <xf numFmtId="0" fontId="7" fillId="0" borderId="44" xfId="0" applyFont="1" applyFill="1" applyBorder="1"/>
    <xf numFmtId="0" fontId="7" fillId="0" borderId="21" xfId="0" applyFont="1" applyFill="1" applyBorder="1"/>
    <xf numFmtId="2" fontId="7" fillId="0" borderId="1" xfId="0" applyNumberFormat="1" applyFont="1" applyFill="1" applyBorder="1"/>
    <xf numFmtId="0" fontId="6" fillId="0" borderId="0" xfId="0" applyFont="1"/>
    <xf numFmtId="2" fontId="6" fillId="0" borderId="0" xfId="0" applyNumberFormat="1" applyFont="1"/>
    <xf numFmtId="0" fontId="6" fillId="0" borderId="0" xfId="1" applyFont="1"/>
    <xf numFmtId="0" fontId="1" fillId="0" borderId="0" xfId="0" applyFont="1" applyFill="1"/>
    <xf numFmtId="0" fontId="1" fillId="0" borderId="0" xfId="0" applyFont="1" applyFill="1" applyBorder="1"/>
    <xf numFmtId="2" fontId="1" fillId="12" borderId="33" xfId="0" applyNumberFormat="1" applyFont="1" applyFill="1" applyBorder="1" applyAlignment="1">
      <alignment horizontal="left" vertical="top" wrapText="1"/>
    </xf>
    <xf numFmtId="9" fontId="4" fillId="13" borderId="34" xfId="0" applyNumberFormat="1" applyFont="1" applyFill="1" applyBorder="1" applyAlignment="1">
      <alignment horizontal="left" vertical="top" wrapText="1"/>
    </xf>
    <xf numFmtId="0" fontId="0" fillId="12" borderId="33" xfId="0" applyFill="1" applyBorder="1" applyAlignment="1">
      <alignment horizontal="left"/>
    </xf>
    <xf numFmtId="9" fontId="0" fillId="12" borderId="33" xfId="0" applyNumberFormat="1" applyFont="1" applyFill="1" applyBorder="1" applyAlignment="1">
      <alignment horizontal="left" vertical="top" wrapText="1"/>
    </xf>
    <xf numFmtId="0" fontId="4" fillId="0" borderId="23" xfId="0" applyFont="1" applyFill="1" applyBorder="1" applyAlignment="1">
      <alignment wrapText="1"/>
    </xf>
    <xf numFmtId="0" fontId="0" fillId="14" borderId="33" xfId="0" applyFill="1" applyBorder="1"/>
    <xf numFmtId="0" fontId="4" fillId="14" borderId="32" xfId="0" applyFont="1" applyFill="1" applyBorder="1" applyAlignment="1">
      <alignment wrapText="1"/>
    </xf>
    <xf numFmtId="0" fontId="4" fillId="14" borderId="33" xfId="0" applyFont="1" applyFill="1" applyBorder="1" applyAlignment="1">
      <alignment wrapText="1"/>
    </xf>
    <xf numFmtId="0" fontId="0" fillId="14" borderId="33" xfId="0" applyFill="1" applyBorder="1" applyAlignment="1">
      <alignment wrapText="1"/>
    </xf>
    <xf numFmtId="0" fontId="0" fillId="0" borderId="0" xfId="0" applyBorder="1" applyAlignment="1">
      <alignment wrapText="1"/>
    </xf>
    <xf numFmtId="166" fontId="4" fillId="12" borderId="34" xfId="0" applyNumberFormat="1" applyFont="1" applyFill="1" applyBorder="1" applyAlignment="1">
      <alignment horizontal="left" vertical="top" wrapText="1"/>
    </xf>
    <xf numFmtId="0" fontId="0" fillId="0" borderId="0" xfId="0" applyFill="1" applyAlignment="1">
      <alignment wrapText="1"/>
    </xf>
    <xf numFmtId="9" fontId="4" fillId="12" borderId="59" xfId="0" applyNumberFormat="1" applyFont="1" applyFill="1" applyBorder="1" applyAlignment="1">
      <alignment horizontal="left" vertical="top" wrapText="1"/>
    </xf>
    <xf numFmtId="166" fontId="4" fillId="12" borderId="33" xfId="0" applyNumberFormat="1" applyFont="1" applyFill="1" applyBorder="1" applyAlignment="1">
      <alignment horizontal="left" vertical="top" wrapText="1"/>
    </xf>
    <xf numFmtId="2" fontId="6" fillId="12" borderId="52" xfId="0" applyNumberFormat="1" applyFont="1" applyFill="1" applyBorder="1" applyAlignment="1">
      <alignment wrapText="1"/>
    </xf>
    <xf numFmtId="2" fontId="6" fillId="12" borderId="37" xfId="0" applyNumberFormat="1" applyFont="1" applyFill="1" applyBorder="1" applyAlignment="1">
      <alignment wrapText="1"/>
    </xf>
    <xf numFmtId="2" fontId="6" fillId="12" borderId="30" xfId="0" applyNumberFormat="1" applyFont="1" applyFill="1" applyBorder="1" applyAlignment="1">
      <alignment wrapText="1"/>
    </xf>
    <xf numFmtId="2" fontId="6" fillId="12" borderId="53" xfId="0" applyNumberFormat="1" applyFont="1" applyFill="1" applyBorder="1" applyAlignment="1">
      <alignment wrapText="1"/>
    </xf>
    <xf numFmtId="0" fontId="0" fillId="0" borderId="42" xfId="0" applyBorder="1" applyAlignment="1">
      <alignment wrapText="1"/>
    </xf>
    <xf numFmtId="0" fontId="0" fillId="0" borderId="42" xfId="0" applyFill="1" applyBorder="1" applyAlignment="1">
      <alignment wrapText="1"/>
    </xf>
    <xf numFmtId="0" fontId="1" fillId="0" borderId="42" xfId="0" applyFont="1" applyFill="1" applyBorder="1" applyAlignment="1">
      <alignment wrapText="1"/>
    </xf>
    <xf numFmtId="0" fontId="0" fillId="0" borderId="42" xfId="0" applyNumberFormat="1" applyFont="1" applyFill="1" applyBorder="1" applyAlignment="1" applyProtection="1">
      <alignment horizontal="left" vertical="top" wrapText="1"/>
    </xf>
    <xf numFmtId="0" fontId="4" fillId="0" borderId="42" xfId="0" applyFont="1" applyFill="1" applyBorder="1" applyAlignment="1">
      <alignment horizontal="left" vertical="top" wrapText="1"/>
    </xf>
    <xf numFmtId="0" fontId="1" fillId="0" borderId="60" xfId="0" applyFont="1" applyFill="1" applyBorder="1" applyAlignment="1">
      <alignment wrapText="1"/>
    </xf>
    <xf numFmtId="9" fontId="4" fillId="15" borderId="33" xfId="0" applyNumberFormat="1" applyFont="1" applyFill="1" applyBorder="1" applyAlignment="1">
      <alignment horizontal="left" vertical="top" wrapText="1"/>
    </xf>
    <xf numFmtId="9" fontId="4" fillId="15" borderId="34" xfId="0" applyNumberFormat="1" applyFont="1" applyFill="1" applyBorder="1" applyAlignment="1">
      <alignment horizontal="left" vertical="top" wrapText="1"/>
    </xf>
    <xf numFmtId="0" fontId="1" fillId="0" borderId="23" xfId="0" applyFont="1" applyFill="1" applyBorder="1" applyAlignment="1">
      <alignment vertical="top" wrapText="1"/>
    </xf>
    <xf numFmtId="0" fontId="4" fillId="12" borderId="33" xfId="0" applyFont="1" applyFill="1" applyBorder="1" applyAlignment="1">
      <alignment horizontal="left" vertical="top" wrapText="1"/>
    </xf>
    <xf numFmtId="0" fontId="1" fillId="16" borderId="23" xfId="0" applyFont="1" applyFill="1" applyBorder="1" applyAlignment="1">
      <alignment wrapText="1"/>
    </xf>
    <xf numFmtId="0" fontId="0" fillId="12" borderId="51" xfId="0" applyFill="1" applyBorder="1" applyAlignment="1">
      <alignment horizontal="left"/>
    </xf>
    <xf numFmtId="0" fontId="4" fillId="12" borderId="51" xfId="0" applyFont="1" applyFill="1" applyBorder="1" applyAlignment="1">
      <alignment horizontal="left" vertical="top" wrapText="1"/>
    </xf>
    <xf numFmtId="2" fontId="4" fillId="12" borderId="34" xfId="0" applyNumberFormat="1" applyFont="1" applyFill="1" applyBorder="1" applyAlignment="1">
      <alignment horizontal="left" vertical="top" wrapText="1"/>
    </xf>
    <xf numFmtId="10" fontId="4" fillId="12" borderId="34" xfId="0" applyNumberFormat="1" applyFont="1" applyFill="1" applyBorder="1" applyAlignment="1">
      <alignment horizontal="left" vertical="top" wrapText="1"/>
    </xf>
    <xf numFmtId="0" fontId="10" fillId="0" borderId="0" xfId="0" applyFont="1"/>
    <xf numFmtId="9" fontId="4" fillId="12" borderId="61" xfId="0" applyNumberFormat="1" applyFont="1" applyFill="1" applyBorder="1" applyAlignment="1">
      <alignment horizontal="left" vertical="top" wrapText="1"/>
    </xf>
    <xf numFmtId="2" fontId="6" fillId="0" borderId="52" xfId="0" applyNumberFormat="1" applyFont="1" applyFill="1" applyBorder="1" applyAlignment="1">
      <alignment wrapText="1"/>
    </xf>
    <xf numFmtId="2" fontId="6" fillId="0" borderId="45" xfId="0" applyNumberFormat="1" applyFont="1" applyFill="1" applyBorder="1" applyAlignment="1">
      <alignment wrapText="1"/>
    </xf>
    <xf numFmtId="2" fontId="6" fillId="0" borderId="12" xfId="0" applyNumberFormat="1" applyFont="1" applyFill="1" applyBorder="1" applyAlignment="1">
      <alignment wrapText="1"/>
    </xf>
    <xf numFmtId="2" fontId="6" fillId="0" borderId="37" xfId="0" applyNumberFormat="1" applyFont="1" applyFill="1" applyBorder="1" applyAlignment="1">
      <alignment wrapText="1"/>
    </xf>
    <xf numFmtId="2" fontId="6" fillId="0" borderId="30" xfId="0" applyNumberFormat="1" applyFont="1" applyFill="1" applyBorder="1" applyAlignment="1">
      <alignment wrapText="1"/>
    </xf>
    <xf numFmtId="2" fontId="6" fillId="0" borderId="33" xfId="0" applyNumberFormat="1" applyFont="1" applyFill="1" applyBorder="1" applyAlignment="1">
      <alignment wrapText="1"/>
    </xf>
    <xf numFmtId="2" fontId="6" fillId="0" borderId="23" xfId="0" applyNumberFormat="1" applyFont="1" applyFill="1" applyBorder="1" applyAlignment="1">
      <alignment wrapText="1"/>
    </xf>
    <xf numFmtId="2" fontId="6" fillId="0" borderId="42" xfId="0" applyNumberFormat="1" applyFont="1" applyFill="1" applyBorder="1" applyAlignment="1">
      <alignment wrapText="1"/>
    </xf>
    <xf numFmtId="2" fontId="6" fillId="0" borderId="53" xfId="0" applyNumberFormat="1" applyFont="1" applyFill="1" applyBorder="1" applyAlignment="1">
      <alignment wrapText="1"/>
    </xf>
    <xf numFmtId="166" fontId="1" fillId="13" borderId="33" xfId="0" applyNumberFormat="1" applyFont="1" applyFill="1" applyBorder="1" applyAlignment="1">
      <alignment horizontal="left" vertical="top" wrapText="1"/>
    </xf>
    <xf numFmtId="14" fontId="0" fillId="0" borderId="48" xfId="0" applyNumberFormat="1" applyBorder="1" applyAlignment="1">
      <alignment horizontal="center" vertical="center" wrapText="1"/>
    </xf>
    <xf numFmtId="0" fontId="0" fillId="0" borderId="47" xfId="0" applyBorder="1" applyAlignment="1">
      <alignment horizontal="center" vertical="center" wrapText="1"/>
    </xf>
    <xf numFmtId="0" fontId="0" fillId="0" borderId="49" xfId="0" applyBorder="1" applyAlignment="1">
      <alignment horizontal="left" vertical="center" wrapText="1"/>
    </xf>
    <xf numFmtId="0" fontId="0" fillId="0" borderId="43" xfId="0" applyBorder="1" applyAlignment="1">
      <alignment horizontal="left" vertical="center" wrapText="1"/>
    </xf>
    <xf numFmtId="0" fontId="0" fillId="0" borderId="17" xfId="0" applyBorder="1" applyAlignment="1">
      <alignment horizontal="left" vertical="center" wrapText="1"/>
    </xf>
    <xf numFmtId="0" fontId="0" fillId="0" borderId="50" xfId="0" applyBorder="1" applyAlignment="1">
      <alignment horizontal="left" vertical="center" wrapText="1"/>
    </xf>
    <xf numFmtId="9" fontId="0" fillId="12" borderId="34" xfId="0" applyNumberFormat="1" applyFont="1" applyFill="1" applyBorder="1" applyAlignment="1">
      <alignment horizontal="left" vertical="top" wrapText="1"/>
    </xf>
    <xf numFmtId="0" fontId="2" fillId="3" borderId="16" xfId="0" applyFont="1" applyFill="1" applyBorder="1" applyAlignment="1">
      <alignment wrapText="1"/>
    </xf>
    <xf numFmtId="0" fontId="1" fillId="0" borderId="33" xfId="0" applyFont="1" applyFill="1" applyBorder="1" applyAlignment="1">
      <alignment horizontal="left" vertical="top" wrapText="1"/>
    </xf>
    <xf numFmtId="0" fontId="0" fillId="0" borderId="33" xfId="0" applyBorder="1" applyAlignment="1">
      <alignment vertical="top"/>
    </xf>
    <xf numFmtId="166" fontId="1" fillId="12" borderId="33" xfId="0" applyNumberFormat="1" applyFont="1" applyFill="1" applyBorder="1" applyAlignment="1">
      <alignment horizontal="left" vertical="top" wrapText="1"/>
    </xf>
    <xf numFmtId="14" fontId="0" fillId="0" borderId="48" xfId="0" applyNumberFormat="1" applyBorder="1" applyAlignment="1">
      <alignment horizontal="center" vertical="center" wrapText="1"/>
    </xf>
    <xf numFmtId="0" fontId="0" fillId="0" borderId="47" xfId="0" applyBorder="1" applyAlignment="1">
      <alignment horizontal="center" vertical="center" wrapText="1"/>
    </xf>
    <xf numFmtId="0" fontId="0" fillId="0" borderId="49" xfId="0" applyBorder="1" applyAlignment="1">
      <alignment horizontal="left" vertical="center" wrapText="1"/>
    </xf>
    <xf numFmtId="0" fontId="0" fillId="0" borderId="43" xfId="0" applyBorder="1" applyAlignment="1">
      <alignment horizontal="left" vertical="center" wrapText="1"/>
    </xf>
    <xf numFmtId="0" fontId="0" fillId="0" borderId="17" xfId="0" applyBorder="1" applyAlignment="1">
      <alignment horizontal="left" vertical="center" wrapText="1"/>
    </xf>
    <xf numFmtId="0" fontId="0" fillId="0" borderId="50" xfId="0" applyBorder="1" applyAlignment="1">
      <alignment horizontal="left" vertical="center" wrapText="1"/>
    </xf>
    <xf numFmtId="0" fontId="1" fillId="11" borderId="48" xfId="0" applyFont="1" applyFill="1" applyBorder="1" applyAlignment="1">
      <alignment vertical="center" wrapText="1"/>
    </xf>
    <xf numFmtId="0" fontId="1" fillId="11" borderId="49" xfId="0" applyFont="1" applyFill="1" applyBorder="1" applyAlignment="1">
      <alignment vertical="center" wrapText="1"/>
    </xf>
    <xf numFmtId="0" fontId="1" fillId="11" borderId="43" xfId="0" applyFont="1" applyFill="1" applyBorder="1" applyAlignment="1">
      <alignment vertical="center" wrapText="1"/>
    </xf>
    <xf numFmtId="0" fontId="1" fillId="11" borderId="57" xfId="0" applyFont="1" applyFill="1" applyBorder="1" applyAlignment="1">
      <alignment vertical="center" wrapText="1"/>
    </xf>
    <xf numFmtId="0" fontId="1" fillId="11" borderId="47" xfId="0" applyFont="1" applyFill="1" applyBorder="1" applyAlignment="1">
      <alignment vertical="center" wrapText="1"/>
    </xf>
    <xf numFmtId="0" fontId="0" fillId="2" borderId="23" xfId="0" applyFill="1" applyBorder="1" applyAlignment="1">
      <alignment horizontal="justify" wrapText="1"/>
    </xf>
    <xf numFmtId="0" fontId="0" fillId="2" borderId="34" xfId="0" applyFill="1" applyBorder="1" applyAlignment="1">
      <alignment horizontal="justify" wrapText="1"/>
    </xf>
    <xf numFmtId="0" fontId="1" fillId="2" borderId="62" xfId="0" applyFont="1" applyFill="1" applyBorder="1" applyAlignment="1">
      <alignment horizontal="justify" wrapText="1"/>
    </xf>
    <xf numFmtId="0" fontId="0" fillId="0" borderId="33" xfId="0" applyFont="1" applyFill="1" applyBorder="1" applyAlignment="1">
      <alignment vertical="top"/>
    </xf>
    <xf numFmtId="0" fontId="0" fillId="0" borderId="33" xfId="0" applyBorder="1" applyAlignment="1">
      <alignment wrapText="1"/>
    </xf>
    <xf numFmtId="0" fontId="0" fillId="2" borderId="23" xfId="0" applyFont="1" applyFill="1" applyBorder="1" applyAlignment="1">
      <alignment wrapText="1"/>
    </xf>
    <xf numFmtId="0" fontId="1" fillId="2" borderId="23" xfId="0" applyFont="1" applyFill="1" applyBorder="1" applyAlignment="1">
      <alignment wrapText="1"/>
    </xf>
    <xf numFmtId="17" fontId="1" fillId="2" borderId="33" xfId="0" applyNumberFormat="1" applyFont="1" applyFill="1" applyBorder="1"/>
    <xf numFmtId="0" fontId="2" fillId="2" borderId="22" xfId="0" applyFont="1" applyFill="1" applyBorder="1" applyAlignment="1">
      <alignment horizontal="right"/>
    </xf>
    <xf numFmtId="164" fontId="2" fillId="0" borderId="0" xfId="0" applyNumberFormat="1" applyFont="1" applyFill="1" applyBorder="1" applyAlignment="1">
      <alignment wrapText="1"/>
    </xf>
    <xf numFmtId="0" fontId="0" fillId="2" borderId="63" xfId="0" applyFill="1" applyBorder="1" applyAlignment="1">
      <alignment horizontal="justify" wrapText="1"/>
    </xf>
    <xf numFmtId="0" fontId="0" fillId="2" borderId="64" xfId="0" applyFill="1" applyBorder="1" applyAlignment="1">
      <alignment horizontal="justify" wrapText="1"/>
    </xf>
    <xf numFmtId="0" fontId="0" fillId="2" borderId="65" xfId="0" applyFill="1" applyBorder="1" applyAlignment="1">
      <alignment horizontal="justify" wrapText="1"/>
    </xf>
    <xf numFmtId="0" fontId="0" fillId="0" borderId="66" xfId="0" applyBorder="1"/>
    <xf numFmtId="0" fontId="0" fillId="0" borderId="66" xfId="0" applyFont="1" applyFill="1" applyBorder="1" applyAlignment="1">
      <alignment vertical="top"/>
    </xf>
    <xf numFmtId="0" fontId="0" fillId="0" borderId="66" xfId="0" applyBorder="1" applyAlignment="1">
      <alignment wrapText="1"/>
    </xf>
    <xf numFmtId="0" fontId="1" fillId="0" borderId="67" xfId="0" applyFont="1" applyFill="1" applyBorder="1" applyAlignment="1">
      <alignment wrapText="1"/>
    </xf>
    <xf numFmtId="0" fontId="0" fillId="2" borderId="68" xfId="0" applyFill="1" applyBorder="1" applyAlignment="1">
      <alignment horizontal="justify" wrapText="1"/>
    </xf>
    <xf numFmtId="0" fontId="0" fillId="0" borderId="69" xfId="0" applyFill="1" applyBorder="1"/>
    <xf numFmtId="0" fontId="4" fillId="0" borderId="69" xfId="0" applyFont="1" applyFill="1" applyBorder="1" applyAlignment="1">
      <alignment wrapText="1"/>
    </xf>
    <xf numFmtId="0" fontId="2" fillId="3" borderId="4" xfId="0" applyFont="1" applyFill="1" applyBorder="1"/>
    <xf numFmtId="9" fontId="4" fillId="0" borderId="76" xfId="0" applyNumberFormat="1" applyFont="1" applyFill="1" applyBorder="1" applyAlignment="1">
      <alignment horizontal="left" vertical="top" wrapText="1"/>
    </xf>
    <xf numFmtId="9" fontId="4" fillId="12" borderId="0" xfId="0" applyNumberFormat="1" applyFont="1" applyFill="1" applyBorder="1" applyAlignment="1">
      <alignment horizontal="left" vertical="top" wrapText="1"/>
    </xf>
    <xf numFmtId="1" fontId="4" fillId="12" borderId="34" xfId="0" applyNumberFormat="1" applyFont="1" applyFill="1" applyBorder="1" applyAlignment="1">
      <alignment horizontal="left" vertical="top" wrapText="1"/>
    </xf>
    <xf numFmtId="0" fontId="2" fillId="13" borderId="22" xfId="0" applyFont="1" applyFill="1" applyBorder="1" applyAlignment="1">
      <alignment horizontal="right"/>
    </xf>
    <xf numFmtId="0" fontId="0" fillId="13" borderId="23" xfId="0" applyFont="1" applyFill="1" applyBorder="1" applyAlignment="1">
      <alignment wrapText="1"/>
    </xf>
    <xf numFmtId="0" fontId="1" fillId="13" borderId="23" xfId="0" applyFont="1" applyFill="1" applyBorder="1" applyAlignment="1">
      <alignment wrapText="1"/>
    </xf>
    <xf numFmtId="17" fontId="1" fillId="13" borderId="33" xfId="0" applyNumberFormat="1" applyFont="1" applyFill="1" applyBorder="1"/>
    <xf numFmtId="0" fontId="1" fillId="13" borderId="23" xfId="0" applyFont="1" applyFill="1" applyBorder="1" applyAlignment="1">
      <alignment vertical="top" wrapText="1"/>
    </xf>
    <xf numFmtId="0" fontId="1" fillId="0" borderId="42" xfId="0" applyFont="1" applyBorder="1" applyAlignment="1">
      <alignment wrapText="1"/>
    </xf>
    <xf numFmtId="0" fontId="0" fillId="0" borderId="17" xfId="0" applyBorder="1" applyAlignment="1">
      <alignment horizontal="left" vertical="center" wrapText="1"/>
    </xf>
    <xf numFmtId="0" fontId="0" fillId="0" borderId="50" xfId="0" applyBorder="1" applyAlignment="1">
      <alignment horizontal="left" vertical="center" wrapText="1"/>
    </xf>
    <xf numFmtId="14" fontId="0" fillId="0" borderId="48" xfId="0" applyNumberFormat="1" applyBorder="1" applyAlignment="1">
      <alignment horizontal="center" vertical="center" wrapText="1"/>
    </xf>
    <xf numFmtId="0" fontId="0" fillId="0" borderId="47" xfId="0" applyBorder="1" applyAlignment="1">
      <alignment horizontal="center" vertical="center" wrapText="1"/>
    </xf>
    <xf numFmtId="0" fontId="0" fillId="0" borderId="49" xfId="0" applyBorder="1" applyAlignment="1">
      <alignment horizontal="left" vertical="center" wrapText="1"/>
    </xf>
    <xf numFmtId="0" fontId="1" fillId="11" borderId="48" xfId="0" applyFont="1" applyFill="1" applyBorder="1" applyAlignment="1">
      <alignment vertical="center" wrapText="1"/>
    </xf>
    <xf numFmtId="0" fontId="1" fillId="11" borderId="49" xfId="0" applyFont="1" applyFill="1" applyBorder="1" applyAlignment="1">
      <alignment vertical="center" wrapText="1"/>
    </xf>
    <xf numFmtId="0" fontId="1" fillId="11" borderId="43" xfId="0" applyFont="1" applyFill="1" applyBorder="1" applyAlignment="1">
      <alignment vertical="center" wrapText="1"/>
    </xf>
    <xf numFmtId="0" fontId="0" fillId="0" borderId="43" xfId="0" applyBorder="1" applyAlignment="1">
      <alignment horizontal="left" vertical="center" wrapText="1"/>
    </xf>
    <xf numFmtId="9" fontId="4" fillId="0" borderId="61" xfId="0" applyNumberFormat="1" applyFont="1" applyFill="1" applyBorder="1" applyAlignment="1">
      <alignment horizontal="left" vertical="top" wrapText="1"/>
    </xf>
    <xf numFmtId="2" fontId="1" fillId="12" borderId="34" xfId="0" applyNumberFormat="1" applyFont="1" applyFill="1" applyBorder="1" applyAlignment="1">
      <alignment horizontal="left" vertical="top" wrapText="1"/>
    </xf>
    <xf numFmtId="166" fontId="1" fillId="12" borderId="34" xfId="0" applyNumberFormat="1" applyFont="1" applyFill="1" applyBorder="1" applyAlignment="1">
      <alignment horizontal="left" vertical="top" wrapText="1"/>
    </xf>
    <xf numFmtId="9" fontId="4" fillId="17" borderId="34" xfId="0" applyNumberFormat="1" applyFont="1" applyFill="1" applyBorder="1" applyAlignment="1">
      <alignment horizontal="left" vertical="top" wrapText="1"/>
    </xf>
    <xf numFmtId="0" fontId="0" fillId="12" borderId="33" xfId="0" applyFill="1" applyBorder="1" applyAlignment="1">
      <alignment wrapText="1"/>
    </xf>
    <xf numFmtId="0" fontId="2" fillId="12" borderId="22" xfId="0" applyFont="1" applyFill="1" applyBorder="1" applyAlignment="1">
      <alignment horizontal="right"/>
    </xf>
    <xf numFmtId="0" fontId="1" fillId="12" borderId="23" xfId="0" applyFont="1" applyFill="1" applyBorder="1" applyAlignment="1">
      <alignment wrapText="1"/>
    </xf>
    <xf numFmtId="17" fontId="1" fillId="12" borderId="33" xfId="0" applyNumberFormat="1" applyFont="1" applyFill="1" applyBorder="1"/>
    <xf numFmtId="17" fontId="1" fillId="12" borderId="23" xfId="0" applyNumberFormat="1" applyFont="1" applyFill="1" applyBorder="1" applyAlignment="1">
      <alignment vertical="top" wrapText="1"/>
    </xf>
    <xf numFmtId="0" fontId="1" fillId="12" borderId="23" xfId="0" applyFont="1" applyFill="1" applyBorder="1" applyAlignment="1">
      <alignment vertical="top" wrapText="1"/>
    </xf>
    <xf numFmtId="14" fontId="0" fillId="0" borderId="48" xfId="0" applyNumberFormat="1" applyBorder="1" applyAlignment="1">
      <alignment horizontal="center" vertical="center" wrapText="1"/>
    </xf>
    <xf numFmtId="0" fontId="0" fillId="0" borderId="47" xfId="0" applyBorder="1" applyAlignment="1">
      <alignment horizontal="center" vertical="center" wrapText="1"/>
    </xf>
    <xf numFmtId="0" fontId="0" fillId="0" borderId="49" xfId="0" applyBorder="1" applyAlignment="1">
      <alignment horizontal="left" vertical="center" wrapText="1"/>
    </xf>
    <xf numFmtId="0" fontId="0" fillId="0" borderId="43" xfId="0" applyBorder="1" applyAlignment="1">
      <alignment horizontal="left" vertical="center" wrapText="1"/>
    </xf>
    <xf numFmtId="0" fontId="0" fillId="0" borderId="17" xfId="0" applyBorder="1" applyAlignment="1">
      <alignment horizontal="left" vertical="center" wrapText="1"/>
    </xf>
    <xf numFmtId="0" fontId="0" fillId="0" borderId="50" xfId="0" applyBorder="1" applyAlignment="1">
      <alignment horizontal="left" vertical="center" wrapText="1"/>
    </xf>
    <xf numFmtId="0" fontId="1" fillId="11" borderId="48" xfId="0" applyFont="1" applyFill="1" applyBorder="1" applyAlignment="1">
      <alignment vertical="center" wrapText="1"/>
    </xf>
    <xf numFmtId="0" fontId="1" fillId="11" borderId="49" xfId="0" applyFont="1" applyFill="1" applyBorder="1" applyAlignment="1">
      <alignment vertical="center" wrapText="1"/>
    </xf>
    <xf numFmtId="0" fontId="1" fillId="11" borderId="43" xfId="0" applyFont="1" applyFill="1" applyBorder="1" applyAlignment="1">
      <alignment vertical="center" wrapText="1"/>
    </xf>
    <xf numFmtId="0" fontId="0" fillId="12" borderId="34" xfId="0" applyFill="1" applyBorder="1" applyAlignment="1">
      <alignment wrapText="1"/>
    </xf>
    <xf numFmtId="0" fontId="2" fillId="2" borderId="31" xfId="0" applyFont="1" applyFill="1" applyBorder="1" applyAlignment="1">
      <alignment wrapText="1"/>
    </xf>
    <xf numFmtId="164" fontId="2" fillId="2" borderId="31" xfId="0" applyNumberFormat="1" applyFont="1" applyFill="1" applyBorder="1" applyAlignment="1">
      <alignment wrapText="1"/>
    </xf>
    <xf numFmtId="0" fontId="2" fillId="18" borderId="22" xfId="0" applyFont="1" applyFill="1" applyBorder="1" applyAlignment="1">
      <alignment horizontal="right"/>
    </xf>
    <xf numFmtId="0" fontId="1" fillId="18" borderId="23" xfId="0" applyFont="1" applyFill="1" applyBorder="1" applyAlignment="1">
      <alignment wrapText="1"/>
    </xf>
    <xf numFmtId="17" fontId="1" fillId="18" borderId="33" xfId="0" applyNumberFormat="1" applyFont="1" applyFill="1" applyBorder="1"/>
    <xf numFmtId="0" fontId="1" fillId="18" borderId="23" xfId="0" applyFont="1" applyFill="1" applyBorder="1" applyAlignment="1">
      <alignment vertical="top" wrapText="1"/>
    </xf>
    <xf numFmtId="166" fontId="4" fillId="13" borderId="34" xfId="0" applyNumberFormat="1" applyFont="1" applyFill="1" applyBorder="1" applyAlignment="1">
      <alignment horizontal="left" vertical="top" wrapText="1"/>
    </xf>
    <xf numFmtId="9" fontId="4" fillId="18" borderId="34" xfId="0" applyNumberFormat="1" applyFont="1" applyFill="1" applyBorder="1" applyAlignment="1">
      <alignment horizontal="left" vertical="top" wrapText="1"/>
    </xf>
    <xf numFmtId="166" fontId="1" fillId="13" borderId="34" xfId="0" applyNumberFormat="1" applyFont="1" applyFill="1" applyBorder="1" applyAlignment="1">
      <alignment horizontal="left" vertical="top" wrapText="1"/>
    </xf>
    <xf numFmtId="0" fontId="0" fillId="13" borderId="51" xfId="0" applyFill="1" applyBorder="1" applyAlignment="1">
      <alignment horizontal="left"/>
    </xf>
    <xf numFmtId="0" fontId="1" fillId="0" borderId="42" xfId="0" applyFont="1" applyFill="1" applyBorder="1" applyAlignment="1">
      <alignment horizontal="left" vertical="top" wrapText="1"/>
    </xf>
    <xf numFmtId="9" fontId="4" fillId="12" borderId="32" xfId="0" applyNumberFormat="1" applyFont="1" applyFill="1" applyBorder="1" applyAlignment="1">
      <alignment horizontal="left" vertical="top" wrapText="1"/>
    </xf>
    <xf numFmtId="9" fontId="4" fillId="17" borderId="59" xfId="0" applyNumberFormat="1" applyFont="1" applyFill="1" applyBorder="1" applyAlignment="1">
      <alignment horizontal="left" vertical="top" wrapText="1"/>
    </xf>
    <xf numFmtId="0" fontId="0" fillId="2" borderId="68" xfId="0" applyFill="1" applyBorder="1" applyAlignment="1">
      <alignment horizontal="justify" vertical="center" wrapText="1"/>
    </xf>
    <xf numFmtId="0" fontId="0" fillId="2" borderId="23" xfId="0" applyFill="1" applyBorder="1" applyAlignment="1">
      <alignment horizontal="justify" vertical="center" wrapText="1"/>
    </xf>
    <xf numFmtId="0" fontId="1" fillId="2" borderId="62" xfId="0" applyFont="1" applyFill="1" applyBorder="1" applyAlignment="1">
      <alignment horizontal="justify" vertical="center" wrapText="1"/>
    </xf>
    <xf numFmtId="0" fontId="0" fillId="0" borderId="33" xfId="0" applyBorder="1" applyAlignment="1">
      <alignment vertical="center"/>
    </xf>
    <xf numFmtId="0" fontId="0" fillId="0" borderId="33" xfId="0" applyFont="1" applyFill="1" applyBorder="1" applyAlignment="1">
      <alignment vertical="center"/>
    </xf>
    <xf numFmtId="0" fontId="1" fillId="0" borderId="33" xfId="0" applyFont="1" applyBorder="1" applyAlignment="1">
      <alignment vertical="center"/>
    </xf>
    <xf numFmtId="0" fontId="0" fillId="0" borderId="33" xfId="0" applyBorder="1" applyAlignment="1">
      <alignment vertical="center" wrapText="1"/>
    </xf>
    <xf numFmtId="0" fontId="1" fillId="12" borderId="33" xfId="2" applyFill="1" applyBorder="1" applyAlignment="1">
      <alignment vertical="center" wrapText="1"/>
    </xf>
    <xf numFmtId="0" fontId="0" fillId="12" borderId="33" xfId="0" applyFill="1" applyBorder="1" applyAlignment="1">
      <alignment vertical="center" wrapText="1"/>
    </xf>
    <xf numFmtId="0" fontId="1" fillId="0" borderId="70" xfId="0" applyFont="1" applyBorder="1" applyAlignment="1">
      <alignment vertical="center" wrapText="1"/>
    </xf>
    <xf numFmtId="0" fontId="0" fillId="0" borderId="0" xfId="0" applyAlignment="1">
      <alignment vertical="center"/>
    </xf>
    <xf numFmtId="0" fontId="0" fillId="2" borderId="71" xfId="0" applyFill="1" applyBorder="1" applyAlignment="1">
      <alignment horizontal="justify" vertical="center" wrapText="1"/>
    </xf>
    <xf numFmtId="0" fontId="0" fillId="2" borderId="72" xfId="0" applyFill="1" applyBorder="1" applyAlignment="1">
      <alignment horizontal="justify" vertical="center" wrapText="1"/>
    </xf>
    <xf numFmtId="0" fontId="1" fillId="2" borderId="73" xfId="0" applyFont="1" applyFill="1" applyBorder="1" applyAlignment="1">
      <alignment horizontal="justify" vertical="center" wrapText="1"/>
    </xf>
    <xf numFmtId="0" fontId="0" fillId="0" borderId="74" xfId="0" applyBorder="1" applyAlignment="1">
      <alignment vertical="center"/>
    </xf>
    <xf numFmtId="0" fontId="0" fillId="0" borderId="74" xfId="0" applyFont="1" applyFill="1" applyBorder="1" applyAlignment="1">
      <alignment vertical="center"/>
    </xf>
    <xf numFmtId="0" fontId="1" fillId="0" borderId="74" xfId="0" applyFont="1" applyBorder="1" applyAlignment="1">
      <alignment vertical="center"/>
    </xf>
    <xf numFmtId="0" fontId="0" fillId="0" borderId="74" xfId="0" applyBorder="1" applyAlignment="1">
      <alignment vertical="center" wrapText="1"/>
    </xf>
    <xf numFmtId="0" fontId="1" fillId="0" borderId="75" xfId="0" applyFont="1" applyFill="1" applyBorder="1" applyAlignment="1">
      <alignment vertical="center" wrapText="1"/>
    </xf>
    <xf numFmtId="0" fontId="0" fillId="12" borderId="74" xfId="0" applyFill="1" applyBorder="1" applyAlignment="1">
      <alignment wrapText="1"/>
    </xf>
    <xf numFmtId="0" fontId="7" fillId="0" borderId="2" xfId="0" applyFont="1" applyFill="1" applyBorder="1" applyAlignment="1">
      <alignment horizontal="center"/>
    </xf>
    <xf numFmtId="0" fontId="7" fillId="0" borderId="17" xfId="0" applyFont="1" applyFill="1" applyBorder="1" applyAlignment="1">
      <alignment horizontal="center"/>
    </xf>
    <xf numFmtId="0" fontId="7" fillId="0" borderId="3" xfId="0" applyFont="1" applyFill="1" applyBorder="1" applyAlignment="1">
      <alignment horizontal="center"/>
    </xf>
    <xf numFmtId="0" fontId="2" fillId="3" borderId="2" xfId="0" applyFont="1" applyFill="1" applyBorder="1" applyAlignment="1">
      <alignment horizontal="center"/>
    </xf>
    <xf numFmtId="0" fontId="2" fillId="3" borderId="17" xfId="0" applyFont="1" applyFill="1" applyBorder="1" applyAlignment="1">
      <alignment horizontal="center"/>
    </xf>
    <xf numFmtId="0" fontId="2" fillId="3" borderId="56" xfId="0" applyFont="1" applyFill="1" applyBorder="1" applyAlignment="1">
      <alignment horizontal="center"/>
    </xf>
    <xf numFmtId="0" fontId="2" fillId="3" borderId="50" xfId="0" applyFont="1" applyFill="1" applyBorder="1" applyAlignment="1">
      <alignment horizontal="center"/>
    </xf>
    <xf numFmtId="0" fontId="1" fillId="0" borderId="14" xfId="0" applyFont="1" applyFill="1" applyBorder="1" applyAlignment="1">
      <alignment horizontal="left" vertical="center" wrapText="1"/>
    </xf>
    <xf numFmtId="0" fontId="0" fillId="0" borderId="46" xfId="0" applyFill="1" applyBorder="1" applyAlignment="1">
      <alignment horizontal="left" vertical="center" wrapText="1"/>
    </xf>
    <xf numFmtId="14" fontId="0" fillId="0" borderId="48" xfId="0" applyNumberFormat="1" applyFill="1" applyBorder="1" applyAlignment="1">
      <alignment horizontal="center" vertical="center" wrapText="1"/>
    </xf>
    <xf numFmtId="0" fontId="0" fillId="0" borderId="47" xfId="0" applyFill="1" applyBorder="1" applyAlignment="1">
      <alignment horizontal="center" vertical="center" wrapText="1"/>
    </xf>
    <xf numFmtId="0" fontId="1" fillId="0" borderId="5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4" xfId="0" applyFont="1" applyBorder="1" applyAlignment="1">
      <alignment horizontal="left" vertical="center" wrapText="1"/>
    </xf>
    <xf numFmtId="0" fontId="0" fillId="0" borderId="46" xfId="0" applyBorder="1" applyAlignment="1">
      <alignment horizontal="left" vertical="center" wrapText="1"/>
    </xf>
    <xf numFmtId="14" fontId="0" fillId="0" borderId="48" xfId="0" applyNumberFormat="1" applyBorder="1" applyAlignment="1">
      <alignment horizontal="center" vertical="center" wrapText="1"/>
    </xf>
    <xf numFmtId="0" fontId="0" fillId="0" borderId="47" xfId="0" applyBorder="1" applyAlignment="1">
      <alignment horizontal="center" vertical="center" wrapText="1"/>
    </xf>
    <xf numFmtId="0" fontId="1" fillId="0" borderId="56" xfId="0" applyFont="1" applyBorder="1" applyAlignment="1">
      <alignment horizontal="left" vertical="center" wrapText="1"/>
    </xf>
    <xf numFmtId="0" fontId="1" fillId="0" borderId="17" xfId="0" applyFont="1" applyBorder="1" applyAlignment="1">
      <alignment horizontal="left" vertical="center" wrapText="1"/>
    </xf>
    <xf numFmtId="0" fontId="1" fillId="0" borderId="3" xfId="0" applyFont="1" applyBorder="1" applyAlignment="1">
      <alignment horizontal="left" vertical="center" wrapText="1"/>
    </xf>
    <xf numFmtId="0" fontId="0" fillId="0" borderId="17" xfId="0" applyFont="1" applyBorder="1" applyAlignment="1">
      <alignment horizontal="left" vertical="center" wrapText="1"/>
    </xf>
    <xf numFmtId="0" fontId="0" fillId="0" borderId="3" xfId="0" applyFont="1" applyBorder="1" applyAlignment="1">
      <alignment horizontal="left" vertical="center" wrapText="1"/>
    </xf>
    <xf numFmtId="0" fontId="1" fillId="0" borderId="11" xfId="0" applyFont="1" applyBorder="1" applyAlignment="1">
      <alignment horizontal="left" vertical="center" wrapText="1"/>
    </xf>
    <xf numFmtId="0" fontId="0" fillId="0" borderId="45" xfId="0" applyBorder="1" applyAlignment="1">
      <alignment horizontal="left" vertical="center" wrapText="1"/>
    </xf>
    <xf numFmtId="14" fontId="0" fillId="0" borderId="54" xfId="0" applyNumberFormat="1" applyBorder="1" applyAlignment="1">
      <alignment horizontal="center" vertical="center" wrapText="1"/>
    </xf>
    <xf numFmtId="0" fontId="0" fillId="0" borderId="52" xfId="0" applyBorder="1" applyAlignment="1">
      <alignment horizontal="center" vertical="center" wrapText="1"/>
    </xf>
    <xf numFmtId="0" fontId="1"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41" xfId="0" applyFont="1" applyBorder="1" applyAlignment="1">
      <alignment horizontal="left" vertical="center" wrapText="1"/>
    </xf>
    <xf numFmtId="0" fontId="1" fillId="0" borderId="2" xfId="0" applyFont="1" applyBorder="1" applyAlignment="1">
      <alignment horizontal="left" vertical="center" wrapText="1"/>
    </xf>
    <xf numFmtId="0" fontId="4" fillId="0" borderId="17" xfId="0" applyFont="1" applyBorder="1" applyAlignment="1">
      <alignment horizontal="left" vertical="center" wrapText="1"/>
    </xf>
    <xf numFmtId="0" fontId="4" fillId="0" borderId="50" xfId="0" applyFont="1" applyBorder="1" applyAlignment="1">
      <alignment horizontal="left" vertical="center" wrapText="1"/>
    </xf>
    <xf numFmtId="14" fontId="1" fillId="0" borderId="56" xfId="0" applyNumberFormat="1" applyFont="1" applyBorder="1" applyAlignment="1">
      <alignment horizontal="center" vertical="center" wrapText="1"/>
    </xf>
    <xf numFmtId="14" fontId="1" fillId="0" borderId="50" xfId="0" applyNumberFormat="1" applyFont="1" applyBorder="1" applyAlignment="1">
      <alignment horizontal="center" vertical="center" wrapText="1"/>
    </xf>
    <xf numFmtId="0" fontId="1" fillId="0" borderId="34" xfId="0" applyFont="1" applyBorder="1" applyAlignment="1">
      <alignment horizontal="center" vertical="center" wrapText="1"/>
    </xf>
    <xf numFmtId="0" fontId="0" fillId="0" borderId="30" xfId="0" applyBorder="1" applyAlignment="1">
      <alignment horizontal="center" vertical="center" wrapText="1"/>
    </xf>
    <xf numFmtId="0" fontId="2" fillId="3" borderId="3" xfId="0" applyFont="1" applyFill="1" applyBorder="1" applyAlignment="1">
      <alignment horizontal="center"/>
    </xf>
    <xf numFmtId="0" fontId="0" fillId="0" borderId="14" xfId="0" applyBorder="1" applyAlignment="1">
      <alignment horizontal="left" vertical="center" wrapText="1"/>
    </xf>
    <xf numFmtId="0" fontId="0" fillId="0" borderId="34" xfId="0" applyBorder="1" applyAlignment="1">
      <alignment horizontal="left" vertical="center" wrapText="1"/>
    </xf>
    <xf numFmtId="0" fontId="0" fillId="0" borderId="30"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43" xfId="0" applyBorder="1" applyAlignment="1">
      <alignment horizontal="left" vertical="center" wrapText="1"/>
    </xf>
    <xf numFmtId="0" fontId="1" fillId="11" borderId="30" xfId="0" applyFont="1" applyFill="1" applyBorder="1" applyAlignment="1">
      <alignment vertical="center" wrapText="1"/>
    </xf>
    <xf numFmtId="0" fontId="1" fillId="11" borderId="33" xfId="0" applyFont="1" applyFill="1" applyBorder="1" applyAlignment="1">
      <alignment vertical="center" wrapText="1"/>
    </xf>
    <xf numFmtId="14" fontId="1" fillId="0" borderId="54" xfId="0" applyNumberFormat="1" applyFont="1" applyBorder="1" applyAlignment="1">
      <alignment horizontal="center" vertical="center" wrapText="1"/>
    </xf>
    <xf numFmtId="14" fontId="1" fillId="0" borderId="52" xfId="0" applyNumberFormat="1" applyFont="1" applyBorder="1" applyAlignment="1">
      <alignment horizontal="center" vertical="center" wrapText="1"/>
    </xf>
    <xf numFmtId="0" fontId="1" fillId="11" borderId="33" xfId="0" applyFont="1" applyFill="1" applyBorder="1" applyAlignment="1">
      <alignment horizontal="left" vertical="center" wrapText="1"/>
    </xf>
    <xf numFmtId="0" fontId="1" fillId="11" borderId="23" xfId="0" applyFont="1" applyFill="1" applyBorder="1" applyAlignment="1">
      <alignment horizontal="left" vertical="center" wrapText="1"/>
    </xf>
    <xf numFmtId="0" fontId="1" fillId="11" borderId="23" xfId="0" applyFont="1" applyFill="1" applyBorder="1" applyAlignment="1">
      <alignment vertical="center" wrapText="1"/>
    </xf>
    <xf numFmtId="14" fontId="1" fillId="0" borderId="34" xfId="0" applyNumberFormat="1" applyFont="1" applyBorder="1" applyAlignment="1">
      <alignment horizontal="center" vertical="center" wrapText="1"/>
    </xf>
    <xf numFmtId="0" fontId="3" fillId="3" borderId="34" xfId="0" applyFont="1" applyFill="1" applyBorder="1" applyAlignment="1">
      <alignment horizontal="center"/>
    </xf>
    <xf numFmtId="0" fontId="2" fillId="3" borderId="30" xfId="0" applyFont="1" applyFill="1" applyBorder="1" applyAlignment="1">
      <alignment horizontal="center"/>
    </xf>
    <xf numFmtId="0" fontId="3" fillId="3" borderId="56" xfId="0" applyFont="1" applyFill="1" applyBorder="1" applyAlignment="1">
      <alignment horizontal="center"/>
    </xf>
    <xf numFmtId="0" fontId="3" fillId="3" borderId="17" xfId="0" applyFont="1" applyFill="1" applyBorder="1" applyAlignment="1">
      <alignment horizontal="center"/>
    </xf>
    <xf numFmtId="0" fontId="3" fillId="3" borderId="3" xfId="0" applyFont="1" applyFill="1" applyBorder="1" applyAlignment="1">
      <alignment horizontal="center"/>
    </xf>
    <xf numFmtId="0" fontId="2" fillId="3" borderId="58" xfId="0" applyFont="1" applyFill="1" applyBorder="1" applyAlignment="1">
      <alignment horizontal="center"/>
    </xf>
    <xf numFmtId="0" fontId="2" fillId="3" borderId="8" xfId="0" applyFont="1" applyFill="1" applyBorder="1" applyAlignment="1">
      <alignment horizontal="center"/>
    </xf>
    <xf numFmtId="0" fontId="1" fillId="11" borderId="52" xfId="0" applyFont="1" applyFill="1" applyBorder="1" applyAlignment="1">
      <alignment vertical="center" wrapText="1"/>
    </xf>
    <xf numFmtId="0" fontId="1" fillId="11" borderId="45" xfId="0" applyFont="1" applyFill="1" applyBorder="1" applyAlignment="1">
      <alignment vertical="center" wrapText="1"/>
    </xf>
    <xf numFmtId="0" fontId="1" fillId="11" borderId="45" xfId="0" applyFont="1" applyFill="1" applyBorder="1" applyAlignment="1">
      <alignment horizontal="left" vertical="center" wrapText="1"/>
    </xf>
    <xf numFmtId="0" fontId="1" fillId="11" borderId="12" xfId="0" applyFont="1" applyFill="1" applyBorder="1" applyAlignment="1">
      <alignment horizontal="left" vertical="center" wrapText="1"/>
    </xf>
    <xf numFmtId="0" fontId="2" fillId="3" borderId="5" xfId="0" applyFont="1" applyFill="1" applyBorder="1" applyAlignment="1">
      <alignment horizontal="center"/>
    </xf>
    <xf numFmtId="0" fontId="0" fillId="0" borderId="46" xfId="0" applyBorder="1" applyAlignment="1">
      <alignment horizontal="center" vertical="center" wrapText="1"/>
    </xf>
    <xf numFmtId="0" fontId="0" fillId="0" borderId="24" xfId="0" applyBorder="1" applyAlignment="1">
      <alignment horizontal="center" vertical="center" wrapText="1"/>
    </xf>
    <xf numFmtId="0" fontId="0" fillId="0" borderId="57" xfId="0" applyBorder="1" applyAlignment="1">
      <alignment horizontal="left" vertical="center" wrapText="1"/>
    </xf>
    <xf numFmtId="0" fontId="0" fillId="0" borderId="47" xfId="0" applyBorder="1" applyAlignment="1">
      <alignment horizontal="left" vertical="center" wrapText="1"/>
    </xf>
    <xf numFmtId="0" fontId="0" fillId="0" borderId="17" xfId="0" applyBorder="1" applyAlignment="1">
      <alignment horizontal="left" vertical="center" wrapText="1"/>
    </xf>
    <xf numFmtId="0" fontId="0" fillId="0" borderId="3" xfId="0" applyBorder="1" applyAlignment="1">
      <alignment horizontal="left" vertical="center" wrapText="1"/>
    </xf>
    <xf numFmtId="0" fontId="0" fillId="0" borderId="50" xfId="0" applyBorder="1" applyAlignment="1">
      <alignment horizontal="left" vertical="center" wrapText="1"/>
    </xf>
    <xf numFmtId="0" fontId="1" fillId="11" borderId="48" xfId="0" applyFont="1" applyFill="1" applyBorder="1" applyAlignment="1">
      <alignment vertical="center" wrapText="1"/>
    </xf>
    <xf numFmtId="0" fontId="1" fillId="11" borderId="49" xfId="0" applyFont="1" applyFill="1" applyBorder="1" applyAlignment="1">
      <alignment vertical="center" wrapText="1"/>
    </xf>
    <xf numFmtId="0" fontId="1" fillId="11" borderId="43" xfId="0" applyFont="1" applyFill="1" applyBorder="1" applyAlignment="1">
      <alignment vertical="center" wrapText="1"/>
    </xf>
    <xf numFmtId="0" fontId="1" fillId="11" borderId="57" xfId="0" applyFont="1" applyFill="1" applyBorder="1" applyAlignment="1">
      <alignment vertical="center" wrapText="1"/>
    </xf>
    <xf numFmtId="0" fontId="1" fillId="11" borderId="47" xfId="0" applyFont="1" applyFill="1" applyBorder="1" applyAlignment="1">
      <alignment vertical="center" wrapText="1"/>
    </xf>
    <xf numFmtId="0" fontId="1" fillId="0" borderId="55" xfId="0" applyFont="1" applyBorder="1" applyAlignment="1">
      <alignment horizontal="left" vertical="center" wrapText="1"/>
    </xf>
    <xf numFmtId="0" fontId="1" fillId="0" borderId="41" xfId="0" applyFont="1" applyBorder="1" applyAlignment="1">
      <alignment horizontal="left" vertical="center" wrapText="1"/>
    </xf>
    <xf numFmtId="0" fontId="4" fillId="0" borderId="54" xfId="0" applyFont="1" applyBorder="1" applyAlignment="1">
      <alignment horizontal="left" vertical="center" wrapText="1"/>
    </xf>
    <xf numFmtId="14" fontId="1" fillId="0" borderId="48" xfId="0" applyNumberFormat="1" applyFont="1" applyFill="1" applyBorder="1" applyAlignment="1">
      <alignment horizontal="center" vertical="center" wrapText="1"/>
    </xf>
    <xf numFmtId="0" fontId="0" fillId="0" borderId="14" xfId="0" applyFont="1" applyBorder="1" applyAlignment="1">
      <alignment horizontal="left" vertical="center" wrapText="1"/>
    </xf>
    <xf numFmtId="0" fontId="0" fillId="0" borderId="56" xfId="0" applyFont="1" applyBorder="1" applyAlignment="1">
      <alignment horizontal="left" vertical="center" wrapText="1"/>
    </xf>
    <xf numFmtId="14" fontId="1" fillId="0" borderId="48" xfId="0" applyNumberFormat="1" applyFont="1" applyBorder="1" applyAlignment="1">
      <alignment horizontal="center" vertical="center" wrapText="1"/>
    </xf>
    <xf numFmtId="0" fontId="0" fillId="0" borderId="77" xfId="0" applyBorder="1" applyAlignment="1">
      <alignment horizontal="left" vertical="center" wrapText="1"/>
    </xf>
    <xf numFmtId="0" fontId="0" fillId="0" borderId="78" xfId="0" applyBorder="1" applyAlignment="1">
      <alignment horizontal="left" vertical="center" wrapText="1"/>
    </xf>
    <xf numFmtId="14" fontId="0" fillId="0" borderId="79" xfId="0" applyNumberFormat="1" applyBorder="1" applyAlignment="1">
      <alignment horizontal="center" vertical="center" wrapText="1"/>
    </xf>
    <xf numFmtId="0" fontId="0" fillId="0" borderId="80" xfId="0" applyBorder="1" applyAlignment="1">
      <alignment horizontal="center" vertical="center" wrapText="1"/>
    </xf>
    <xf numFmtId="0" fontId="0" fillId="0" borderId="38" xfId="0" applyBorder="1" applyAlignment="1">
      <alignment horizontal="left" vertical="center" wrapText="1"/>
    </xf>
    <xf numFmtId="0" fontId="0" fillId="0" borderId="37" xfId="0" applyBorder="1" applyAlignment="1">
      <alignment horizontal="left" vertical="center" wrapText="1"/>
    </xf>
    <xf numFmtId="0" fontId="0" fillId="0" borderId="79" xfId="0" applyBorder="1" applyAlignment="1">
      <alignment horizontal="left" vertical="center" wrapText="1"/>
    </xf>
    <xf numFmtId="0" fontId="0" fillId="0" borderId="44" xfId="0" applyBorder="1" applyAlignment="1">
      <alignment horizontal="left" vertical="center" wrapText="1"/>
    </xf>
    <xf numFmtId="0" fontId="0" fillId="0" borderId="21" xfId="0" applyBorder="1" applyAlignment="1">
      <alignment horizontal="left" vertical="center" wrapText="1"/>
    </xf>
    <xf numFmtId="0" fontId="3" fillId="3" borderId="82" xfId="0" applyFont="1" applyFill="1" applyBorder="1" applyAlignment="1">
      <alignment horizontal="center"/>
    </xf>
    <xf numFmtId="0" fontId="2" fillId="3" borderId="9" xfId="0" applyFont="1" applyFill="1" applyBorder="1" applyAlignment="1">
      <alignment horizontal="center"/>
    </xf>
    <xf numFmtId="0" fontId="3" fillId="3" borderId="62" xfId="0" applyFont="1" applyFill="1" applyBorder="1" applyAlignment="1">
      <alignment horizontal="center"/>
    </xf>
    <xf numFmtId="0" fontId="2" fillId="3" borderId="53" xfId="0" applyFont="1" applyFill="1" applyBorder="1" applyAlignment="1">
      <alignment horizontal="center"/>
    </xf>
    <xf numFmtId="0" fontId="3" fillId="3" borderId="58" xfId="0" applyFont="1" applyFill="1" applyBorder="1" applyAlignment="1">
      <alignment horizontal="center"/>
    </xf>
    <xf numFmtId="0" fontId="3" fillId="3" borderId="8" xfId="0" applyFont="1" applyFill="1" applyBorder="1" applyAlignment="1">
      <alignment horizontal="center"/>
    </xf>
    <xf numFmtId="0" fontId="1" fillId="0" borderId="77" xfId="0" applyFont="1" applyBorder="1" applyAlignment="1">
      <alignment horizontal="left" vertical="center" wrapText="1"/>
    </xf>
    <xf numFmtId="0" fontId="1" fillId="0" borderId="79" xfId="0" applyFont="1" applyBorder="1" applyAlignment="1">
      <alignment horizontal="left" vertical="center" wrapText="1"/>
    </xf>
    <xf numFmtId="0" fontId="0" fillId="0" borderId="44" xfId="0" applyFont="1" applyBorder="1" applyAlignment="1">
      <alignment horizontal="left" vertical="center" wrapText="1"/>
    </xf>
    <xf numFmtId="0" fontId="0" fillId="0" borderId="21" xfId="0" applyFont="1" applyBorder="1" applyAlignment="1">
      <alignment horizontal="left" vertical="center" wrapText="1"/>
    </xf>
    <xf numFmtId="0" fontId="1" fillId="0" borderId="1" xfId="0" applyFont="1" applyBorder="1" applyAlignment="1">
      <alignment horizontal="left" vertical="center"/>
    </xf>
    <xf numFmtId="0" fontId="0" fillId="0" borderId="81" xfId="0" applyBorder="1" applyAlignment="1">
      <alignment horizontal="left" vertical="center"/>
    </xf>
    <xf numFmtId="14" fontId="1" fillId="0" borderId="56" xfId="0" applyNumberFormat="1" applyFont="1" applyBorder="1" applyAlignment="1">
      <alignment horizontal="center" vertical="center"/>
    </xf>
    <xf numFmtId="0" fontId="0" fillId="0" borderId="50" xfId="0" applyBorder="1" applyAlignment="1">
      <alignment horizontal="center" vertical="center"/>
    </xf>
    <xf numFmtId="0" fontId="1" fillId="0" borderId="81" xfId="0" applyFont="1" applyBorder="1" applyAlignment="1">
      <alignment horizontal="left" vertical="center"/>
    </xf>
    <xf numFmtId="0" fontId="0" fillId="0" borderId="15" xfId="0" applyBorder="1" applyAlignment="1">
      <alignment horizontal="left" vertical="center"/>
    </xf>
    <xf numFmtId="0" fontId="1" fillId="0" borderId="1" xfId="0" applyFont="1" applyFill="1" applyBorder="1" applyAlignment="1">
      <alignment horizontal="left" vertical="center" wrapText="1"/>
    </xf>
    <xf numFmtId="0" fontId="1" fillId="0" borderId="81"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11" borderId="2" xfId="0" applyFont="1" applyFill="1" applyBorder="1" applyAlignment="1">
      <alignment horizontal="center" vertical="center" wrapText="1"/>
    </xf>
    <xf numFmtId="0" fontId="1" fillId="11" borderId="17" xfId="0" applyFont="1" applyFill="1" applyBorder="1" applyAlignment="1">
      <alignment horizontal="center" vertical="center" wrapText="1"/>
    </xf>
    <xf numFmtId="0" fontId="1" fillId="11" borderId="50" xfId="0" applyFont="1" applyFill="1" applyBorder="1" applyAlignment="1">
      <alignment horizontal="center" vertical="center" wrapText="1"/>
    </xf>
    <xf numFmtId="0" fontId="1" fillId="11" borderId="56"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0" borderId="1" xfId="0" applyFont="1" applyBorder="1" applyAlignment="1">
      <alignment vertical="center"/>
    </xf>
    <xf numFmtId="0" fontId="0" fillId="0" borderId="81" xfId="0" applyBorder="1" applyAlignment="1">
      <alignment vertical="center"/>
    </xf>
    <xf numFmtId="0" fontId="1" fillId="0" borderId="81" xfId="0" applyFont="1" applyBorder="1" applyAlignment="1">
      <alignment horizontal="center" vertical="center"/>
    </xf>
    <xf numFmtId="0" fontId="0" fillId="0" borderId="81" xfId="0" applyBorder="1" applyAlignment="1">
      <alignment horizontal="center" vertical="center"/>
    </xf>
    <xf numFmtId="0" fontId="1" fillId="0" borderId="81" xfId="0" applyFont="1" applyBorder="1" applyAlignment="1">
      <alignment horizontal="center" vertical="center" wrapText="1"/>
    </xf>
    <xf numFmtId="0" fontId="0" fillId="0" borderId="81" xfId="0" applyBorder="1" applyAlignment="1">
      <alignment horizontal="center" vertical="center" wrapText="1"/>
    </xf>
    <xf numFmtId="0" fontId="1" fillId="0" borderId="56" xfId="0" applyFont="1" applyBorder="1" applyAlignment="1">
      <alignment vertical="center" wrapText="1"/>
    </xf>
    <xf numFmtId="0" fontId="0" fillId="0" borderId="17" xfId="0" applyBorder="1" applyAlignment="1">
      <alignment vertical="center" wrapText="1"/>
    </xf>
    <xf numFmtId="0" fontId="0" fillId="0" borderId="3" xfId="0" applyBorder="1" applyAlignment="1">
      <alignment vertical="center" wrapText="1"/>
    </xf>
    <xf numFmtId="0" fontId="1" fillId="11" borderId="2" xfId="0" applyFont="1" applyFill="1" applyBorder="1" applyAlignment="1">
      <alignment vertical="center" wrapText="1"/>
    </xf>
    <xf numFmtId="0" fontId="1" fillId="11" borderId="17" xfId="0" applyFont="1" applyFill="1" applyBorder="1" applyAlignment="1">
      <alignment vertical="center" wrapText="1"/>
    </xf>
    <xf numFmtId="0" fontId="1" fillId="11" borderId="50" xfId="0" applyFont="1" applyFill="1" applyBorder="1" applyAlignment="1">
      <alignment vertical="center" wrapText="1"/>
    </xf>
    <xf numFmtId="0" fontId="1" fillId="11" borderId="27" xfId="0" applyFont="1" applyFill="1" applyBorder="1" applyAlignment="1">
      <alignment horizontal="center" vertical="center" wrapText="1"/>
    </xf>
    <xf numFmtId="0" fontId="1" fillId="11" borderId="51" xfId="0" applyFont="1" applyFill="1" applyBorder="1" applyAlignment="1">
      <alignment horizontal="center" vertical="center" wrapText="1"/>
    </xf>
    <xf numFmtId="0" fontId="1" fillId="11" borderId="30" xfId="0" applyFont="1" applyFill="1" applyBorder="1" applyAlignment="1">
      <alignment horizontal="center" vertical="center" wrapText="1"/>
    </xf>
    <xf numFmtId="0" fontId="1" fillId="11" borderId="34" xfId="0" applyFont="1" applyFill="1" applyBorder="1" applyAlignment="1">
      <alignment horizontal="center" vertical="center" wrapText="1"/>
    </xf>
    <xf numFmtId="0" fontId="1" fillId="11" borderId="42" xfId="0" applyFont="1" applyFill="1" applyBorder="1" applyAlignment="1">
      <alignment horizontal="center" vertical="center" wrapText="1"/>
    </xf>
    <xf numFmtId="14" fontId="1" fillId="0" borderId="79" xfId="0" applyNumberFormat="1" applyFont="1" applyBorder="1" applyAlignment="1">
      <alignment horizontal="center" vertical="center" wrapText="1"/>
    </xf>
    <xf numFmtId="0" fontId="1" fillId="0" borderId="50" xfId="0" applyFont="1" applyBorder="1" applyAlignment="1">
      <alignment horizontal="left" vertical="center" wrapText="1"/>
    </xf>
    <xf numFmtId="0" fontId="1" fillId="0" borderId="5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quotePrefix="1" applyFont="1" applyBorder="1" applyAlignment="1">
      <alignment horizontal="center" vertical="center" wrapText="1"/>
    </xf>
    <xf numFmtId="0" fontId="0" fillId="0" borderId="17" xfId="0" applyBorder="1" applyAlignment="1">
      <alignment horizontal="center" vertical="center" wrapText="1"/>
    </xf>
    <xf numFmtId="0" fontId="0" fillId="0" borderId="50" xfId="0" applyBorder="1" applyAlignment="1">
      <alignment horizontal="center" vertical="center" wrapText="1"/>
    </xf>
    <xf numFmtId="15" fontId="1" fillId="0" borderId="34" xfId="0" applyNumberFormat="1" applyFont="1" applyBorder="1" applyAlignment="1">
      <alignment horizontal="center"/>
    </xf>
    <xf numFmtId="0" fontId="0" fillId="0" borderId="30" xfId="0" applyBorder="1" applyAlignment="1">
      <alignment horizontal="center"/>
    </xf>
    <xf numFmtId="0" fontId="1" fillId="0" borderId="33" xfId="0" applyFont="1" applyBorder="1" applyAlignment="1">
      <alignment horizontal="center" vertical="center"/>
    </xf>
    <xf numFmtId="0" fontId="0" fillId="0" borderId="33" xfId="0" applyBorder="1" applyAlignment="1">
      <alignment horizontal="center" vertical="center"/>
    </xf>
    <xf numFmtId="0" fontId="0" fillId="0" borderId="23" xfId="0" applyBorder="1" applyAlignment="1">
      <alignment horizontal="center" vertical="center"/>
    </xf>
    <xf numFmtId="0" fontId="1" fillId="0" borderId="14" xfId="0" applyFont="1" applyBorder="1" applyAlignment="1">
      <alignment horizontal="center" vertical="center"/>
    </xf>
    <xf numFmtId="0" fontId="0" fillId="0" borderId="46" xfId="0" applyBorder="1" applyAlignment="1">
      <alignment horizontal="center" vertical="center"/>
    </xf>
    <xf numFmtId="15" fontId="0" fillId="0" borderId="34" xfId="0" applyNumberFormat="1" applyBorder="1" applyAlignment="1">
      <alignment horizontal="center"/>
    </xf>
    <xf numFmtId="0" fontId="1" fillId="0" borderId="13" xfId="0" applyFont="1" applyBorder="1" applyAlignment="1">
      <alignment horizontal="center" vertical="center"/>
    </xf>
    <xf numFmtId="14" fontId="0" fillId="0" borderId="33" xfId="0" applyNumberFormat="1" applyBorder="1" applyAlignment="1">
      <alignment horizontal="center" vertical="center"/>
    </xf>
    <xf numFmtId="0" fontId="0" fillId="0" borderId="34" xfId="0" applyBorder="1" applyAlignment="1">
      <alignment horizontal="center" vertical="center" wrapText="1"/>
    </xf>
    <xf numFmtId="0" fontId="0" fillId="0" borderId="51" xfId="0" applyBorder="1" applyAlignment="1">
      <alignment horizontal="center" vertical="center" wrapText="1"/>
    </xf>
    <xf numFmtId="0" fontId="0" fillId="0" borderId="42" xfId="0" applyBorder="1" applyAlignment="1">
      <alignment horizontal="center" vertical="center" wrapText="1"/>
    </xf>
    <xf numFmtId="14" fontId="0" fillId="0" borderId="46" xfId="0" applyNumberFormat="1" applyBorder="1" applyAlignment="1">
      <alignment horizontal="center" vertical="center"/>
    </xf>
    <xf numFmtId="0" fontId="0" fillId="0" borderId="24" xfId="0" applyBorder="1" applyAlignment="1">
      <alignment horizontal="center" vertical="center"/>
    </xf>
  </cellXfs>
  <cellStyles count="140">
    <cellStyle name="Currency 2" xfId="139"/>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Normal" xfId="0" builtinId="0"/>
    <cellStyle name="Normal 2" xfId="2"/>
    <cellStyle name="Normal_Tier-1 Quarterly Repor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00"/>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48"/>
  <sheetViews>
    <sheetView tabSelected="1" zoomScale="90" zoomScaleNormal="90" zoomScalePageLayoutView="90" workbookViewId="0">
      <pane xSplit="6" ySplit="8" topLeftCell="G45" activePane="bottomRight" state="frozen"/>
      <selection pane="topRight" activeCell="G1" sqref="G1"/>
      <selection pane="bottomLeft" activeCell="A9" sqref="A9"/>
      <selection pane="bottomRight" activeCell="J53" sqref="J53"/>
    </sheetView>
  </sheetViews>
  <sheetFormatPr defaultColWidth="8.85546875" defaultRowHeight="12.75" x14ac:dyDescent="0.2"/>
  <cols>
    <col min="1" max="1" width="12.28515625" customWidth="1"/>
    <col min="2" max="2" width="15.85546875" customWidth="1"/>
    <col min="3" max="3" width="27.28515625" customWidth="1"/>
    <col min="4" max="4" width="17.42578125" customWidth="1"/>
    <col min="5" max="5" width="16.28515625" customWidth="1"/>
    <col min="6" max="6" width="11.42578125" bestFit="1" customWidth="1"/>
    <col min="7" max="11" width="14.140625" style="27" customWidth="1"/>
    <col min="12" max="13" width="37.85546875" customWidth="1"/>
    <col min="14" max="16" width="36.85546875" customWidth="1"/>
  </cols>
  <sheetData>
    <row r="1" spans="1:16" ht="13.5" thickBot="1" x14ac:dyDescent="0.25"/>
    <row r="2" spans="1:16" x14ac:dyDescent="0.2">
      <c r="A2" s="2" t="s">
        <v>24</v>
      </c>
      <c r="B2" s="3"/>
      <c r="C2" s="28"/>
      <c r="D2" s="24"/>
      <c r="E2" s="46" t="s">
        <v>31</v>
      </c>
      <c r="G2" s="139"/>
      <c r="H2" s="139"/>
      <c r="I2" s="139"/>
      <c r="J2" s="139"/>
      <c r="K2" s="139"/>
    </row>
    <row r="3" spans="1:16" x14ac:dyDescent="0.2">
      <c r="A3" s="4" t="s">
        <v>28</v>
      </c>
      <c r="B3" s="19" t="s">
        <v>53</v>
      </c>
      <c r="C3" s="28"/>
      <c r="D3" s="23"/>
      <c r="E3" s="47" t="s">
        <v>46</v>
      </c>
      <c r="G3" s="139"/>
      <c r="H3" s="139"/>
      <c r="I3" s="139"/>
      <c r="J3" s="139"/>
      <c r="K3" s="139"/>
    </row>
    <row r="4" spans="1:16" x14ac:dyDescent="0.2">
      <c r="A4" s="4" t="s">
        <v>25</v>
      </c>
      <c r="B4" s="71" t="s">
        <v>305</v>
      </c>
      <c r="C4" s="28"/>
      <c r="D4" s="25"/>
      <c r="E4" s="47" t="s">
        <v>32</v>
      </c>
      <c r="F4" s="31"/>
      <c r="G4" s="139"/>
      <c r="H4" s="139"/>
      <c r="I4" s="139"/>
      <c r="J4" s="139"/>
      <c r="K4" s="139"/>
    </row>
    <row r="5" spans="1:16" ht="26.25" thickBot="1" x14ac:dyDescent="0.25">
      <c r="A5" s="5" t="s">
        <v>29</v>
      </c>
      <c r="B5" s="20" t="s">
        <v>2</v>
      </c>
      <c r="C5" s="28"/>
      <c r="D5" s="26"/>
      <c r="E5" s="47" t="s">
        <v>44</v>
      </c>
      <c r="G5" s="139"/>
      <c r="H5" s="139"/>
      <c r="I5" s="139"/>
      <c r="J5" s="139"/>
      <c r="K5" s="139"/>
    </row>
    <row r="6" spans="1:16" ht="13.5" thickBot="1" x14ac:dyDescent="0.25">
      <c r="A6" s="36"/>
      <c r="B6" s="30"/>
      <c r="D6" s="16"/>
      <c r="E6" s="48" t="s">
        <v>34</v>
      </c>
      <c r="G6" s="139"/>
      <c r="H6" s="139"/>
      <c r="I6" s="139"/>
      <c r="J6" s="139"/>
      <c r="K6" s="139"/>
    </row>
    <row r="7" spans="1:16" ht="13.5" thickBot="1" x14ac:dyDescent="0.25"/>
    <row r="8" spans="1:16" ht="21" customHeight="1" thickBot="1" x14ac:dyDescent="0.25">
      <c r="A8" s="7" t="s">
        <v>63</v>
      </c>
      <c r="B8" s="7" t="s">
        <v>62</v>
      </c>
      <c r="C8" s="7" t="s">
        <v>27</v>
      </c>
      <c r="D8" s="8" t="s">
        <v>47</v>
      </c>
      <c r="E8" s="7" t="s">
        <v>26</v>
      </c>
      <c r="F8" s="7" t="s">
        <v>30</v>
      </c>
      <c r="G8" s="61" t="s">
        <v>145</v>
      </c>
      <c r="H8" s="61" t="s">
        <v>175</v>
      </c>
      <c r="I8" s="217" t="s">
        <v>245</v>
      </c>
      <c r="J8" s="217" t="s">
        <v>305</v>
      </c>
      <c r="K8" s="217" t="s">
        <v>323</v>
      </c>
      <c r="L8" s="182" t="s">
        <v>176</v>
      </c>
      <c r="M8" s="182" t="s">
        <v>177</v>
      </c>
      <c r="N8" s="182" t="s">
        <v>272</v>
      </c>
      <c r="O8" s="182" t="s">
        <v>324</v>
      </c>
      <c r="P8" s="182" t="s">
        <v>325</v>
      </c>
    </row>
    <row r="9" spans="1:16" ht="25.5" x14ac:dyDescent="0.2">
      <c r="A9" s="72" t="s">
        <v>214</v>
      </c>
      <c r="B9" s="72" t="s">
        <v>254</v>
      </c>
      <c r="C9" s="82" t="s">
        <v>75</v>
      </c>
      <c r="D9" s="135"/>
      <c r="E9" s="183" t="s">
        <v>178</v>
      </c>
      <c r="F9" s="40">
        <v>1</v>
      </c>
      <c r="G9" s="87">
        <f>(1.17+1.18+1.18)/3</f>
        <v>1.1766666666666665</v>
      </c>
      <c r="H9" s="89">
        <f>(0.96+0.96+1.22)/3</f>
        <v>1.0466666666666666</v>
      </c>
      <c r="I9" s="88">
        <f>(1.54+1.54+1.22)/3</f>
        <v>1.4333333333333333</v>
      </c>
      <c r="J9" s="89">
        <f>(1.42+1.43+1.11)/3</f>
        <v>1.32</v>
      </c>
      <c r="K9" s="89">
        <f>(1.43+1.43+1.42)/3</f>
        <v>1.4266666666666665</v>
      </c>
      <c r="L9" s="148"/>
      <c r="M9" s="148"/>
      <c r="N9" s="148"/>
      <c r="O9" s="148"/>
      <c r="P9" s="148"/>
    </row>
    <row r="10" spans="1:16" ht="25.5" x14ac:dyDescent="0.2">
      <c r="A10" s="72" t="s">
        <v>215</v>
      </c>
      <c r="B10" s="72" t="s">
        <v>326</v>
      </c>
      <c r="C10" s="81" t="s">
        <v>101</v>
      </c>
      <c r="D10" s="135"/>
      <c r="E10" s="183" t="s">
        <v>178</v>
      </c>
      <c r="F10" s="40">
        <v>1</v>
      </c>
      <c r="G10" s="87">
        <f>(1.35+1.18+1.28)/3</f>
        <v>1.2700000000000002</v>
      </c>
      <c r="H10" s="89">
        <f>(1.11+1.16+1.18)/3</f>
        <v>1.1500000000000001</v>
      </c>
      <c r="I10" s="88">
        <f>(1.26+1.24+1.23)/3</f>
        <v>1.2433333333333334</v>
      </c>
      <c r="J10" s="89">
        <f>(1.21+1.2+1.44)/3</f>
        <v>1.2833333333333334</v>
      </c>
      <c r="K10" s="89">
        <f>(1.45+1.42+1.46)/3</f>
        <v>1.4433333333333334</v>
      </c>
      <c r="L10" s="148"/>
      <c r="M10" s="148"/>
      <c r="N10" s="148"/>
      <c r="O10" s="148"/>
      <c r="P10" s="148"/>
    </row>
    <row r="11" spans="1:16" ht="25.5" x14ac:dyDescent="0.2">
      <c r="A11" s="72" t="s">
        <v>216</v>
      </c>
      <c r="B11" s="37"/>
      <c r="C11" s="81" t="s">
        <v>76</v>
      </c>
      <c r="D11" s="135"/>
      <c r="E11" s="183" t="s">
        <v>56</v>
      </c>
      <c r="F11" s="40">
        <v>0.99</v>
      </c>
      <c r="G11" s="164">
        <f>(0.9924 + 0.999 + 0.996)/3</f>
        <v>0.99580000000000002</v>
      </c>
      <c r="H11" s="164">
        <f>(0.9907 + 0.998 + 1)/3</f>
        <v>0.99623333333333342</v>
      </c>
      <c r="I11" s="218"/>
      <c r="J11" s="236"/>
      <c r="K11" s="236"/>
      <c r="L11" s="150"/>
      <c r="M11" s="148"/>
      <c r="N11" s="226" t="s">
        <v>297</v>
      </c>
      <c r="O11" s="226"/>
      <c r="P11" s="226"/>
    </row>
    <row r="12" spans="1:16" ht="25.5" x14ac:dyDescent="0.2">
      <c r="A12" s="72" t="s">
        <v>217</v>
      </c>
      <c r="B12" s="37"/>
      <c r="C12" s="81" t="s">
        <v>77</v>
      </c>
      <c r="D12" s="135"/>
      <c r="E12" s="183" t="s">
        <v>2</v>
      </c>
      <c r="F12" s="91">
        <v>2</v>
      </c>
      <c r="G12" s="132">
        <v>0</v>
      </c>
      <c r="H12" s="159">
        <v>0</v>
      </c>
      <c r="I12" s="159">
        <v>0</v>
      </c>
      <c r="J12" s="159"/>
      <c r="K12" s="159">
        <v>0</v>
      </c>
      <c r="L12" s="150"/>
      <c r="M12" s="150"/>
      <c r="N12" s="150"/>
      <c r="O12" s="150"/>
      <c r="P12" s="150"/>
    </row>
    <row r="13" spans="1:16" ht="51" x14ac:dyDescent="0.2">
      <c r="A13" s="72" t="s">
        <v>218</v>
      </c>
      <c r="B13" s="37"/>
      <c r="C13" s="81" t="s">
        <v>78</v>
      </c>
      <c r="D13" s="135"/>
      <c r="E13" s="38"/>
      <c r="F13" s="91">
        <v>0</v>
      </c>
      <c r="G13" s="132">
        <v>0</v>
      </c>
      <c r="H13" s="159">
        <v>0</v>
      </c>
      <c r="I13" s="159">
        <v>0</v>
      </c>
      <c r="J13" s="159">
        <v>0</v>
      </c>
      <c r="K13" s="265">
        <v>1</v>
      </c>
      <c r="L13" s="266"/>
      <c r="M13" s="149"/>
      <c r="N13" s="149"/>
      <c r="O13" s="149"/>
      <c r="P13" s="149" t="s">
        <v>374</v>
      </c>
    </row>
    <row r="14" spans="1:16" ht="51" x14ac:dyDescent="0.2">
      <c r="A14" s="72" t="s">
        <v>219</v>
      </c>
      <c r="B14" s="43"/>
      <c r="C14" s="81" t="s">
        <v>79</v>
      </c>
      <c r="D14" s="136"/>
      <c r="E14" s="44" t="s">
        <v>54</v>
      </c>
      <c r="F14" s="91">
        <v>0</v>
      </c>
      <c r="G14" s="157">
        <v>0</v>
      </c>
      <c r="H14" s="160">
        <v>0</v>
      </c>
      <c r="I14" s="159">
        <v>0</v>
      </c>
      <c r="J14" s="159">
        <v>0</v>
      </c>
      <c r="K14" s="159"/>
      <c r="L14" s="149"/>
      <c r="M14" s="149"/>
      <c r="N14" s="149"/>
      <c r="O14" s="149"/>
      <c r="P14" s="149"/>
    </row>
    <row r="15" spans="1:16" ht="48.75" customHeight="1" x14ac:dyDescent="0.2">
      <c r="A15" s="72" t="s">
        <v>220</v>
      </c>
      <c r="B15" s="42"/>
      <c r="C15" s="81" t="s">
        <v>80</v>
      </c>
      <c r="D15" s="68"/>
      <c r="E15" s="183" t="s">
        <v>54</v>
      </c>
      <c r="F15" s="40">
        <v>0.93</v>
      </c>
      <c r="G15" s="89">
        <v>0.94</v>
      </c>
      <c r="H15" s="142">
        <v>0.97</v>
      </c>
      <c r="I15" s="267">
        <v>1</v>
      </c>
      <c r="J15" s="268">
        <v>0.9</v>
      </c>
      <c r="K15" s="268">
        <v>0.9</v>
      </c>
      <c r="L15" s="153"/>
      <c r="M15" s="150"/>
      <c r="N15" s="150"/>
      <c r="O15" s="150"/>
      <c r="P15" s="150"/>
    </row>
    <row r="16" spans="1:16" x14ac:dyDescent="0.2">
      <c r="A16" s="73"/>
      <c r="B16" s="74"/>
      <c r="C16" s="34"/>
      <c r="D16" s="75"/>
      <c r="E16" s="39"/>
      <c r="F16" s="40"/>
      <c r="G16" s="45"/>
      <c r="H16" s="45"/>
      <c r="I16" s="45"/>
      <c r="J16" s="45"/>
      <c r="K16" s="45"/>
      <c r="L16" s="35"/>
      <c r="M16" s="149"/>
      <c r="N16" s="149"/>
      <c r="O16" s="149"/>
      <c r="P16" s="149"/>
    </row>
    <row r="17" spans="1:16" ht="25.5" x14ac:dyDescent="0.2">
      <c r="A17" s="72" t="s">
        <v>248</v>
      </c>
      <c r="B17" s="256" t="s">
        <v>255</v>
      </c>
      <c r="C17" s="83" t="s">
        <v>81</v>
      </c>
      <c r="D17" s="137"/>
      <c r="E17" s="184" t="s">
        <v>178</v>
      </c>
      <c r="F17" s="40">
        <v>1</v>
      </c>
      <c r="G17" s="133">
        <f>(1.68+1.68+1.68)/3</f>
        <v>1.68</v>
      </c>
      <c r="H17" s="181">
        <f>(1.25+1.25+1.25)/3</f>
        <v>1.25</v>
      </c>
      <c r="I17" s="181">
        <f>(1.25+1.25+1.25)/3</f>
        <v>1.25</v>
      </c>
      <c r="J17" s="181">
        <f>(1.25+1.25+1.25)/3</f>
        <v>1.25</v>
      </c>
      <c r="K17" s="181">
        <f>(2.02+2.02+2.04)/3</f>
        <v>2.0266666666666668</v>
      </c>
      <c r="L17" s="35"/>
      <c r="M17" s="149"/>
      <c r="N17" s="149"/>
      <c r="O17" s="149"/>
      <c r="P17" s="149"/>
    </row>
    <row r="18" spans="1:16" ht="25.5" x14ac:dyDescent="0.2">
      <c r="A18" s="72" t="s">
        <v>249</v>
      </c>
      <c r="B18" s="256" t="s">
        <v>256</v>
      </c>
      <c r="C18" s="84" t="s">
        <v>82</v>
      </c>
      <c r="D18" s="138"/>
      <c r="E18" s="184" t="s">
        <v>178</v>
      </c>
      <c r="F18" s="40">
        <v>1</v>
      </c>
      <c r="G18" s="88">
        <f t="shared" ref="G18:G19" si="0">(1+1+1)/3</f>
        <v>1</v>
      </c>
      <c r="H18" s="88">
        <f>(1+1+1)/3</f>
        <v>1</v>
      </c>
      <c r="I18" s="69">
        <f>(1+1+1)/3</f>
        <v>1</v>
      </c>
      <c r="J18" s="69">
        <f>(1+1+1)/3</f>
        <v>1</v>
      </c>
      <c r="K18" s="69">
        <f>(1+1+1)/3</f>
        <v>1</v>
      </c>
      <c r="L18" s="95"/>
      <c r="M18" s="151"/>
      <c r="N18" s="151"/>
      <c r="O18" s="151"/>
      <c r="P18" s="151"/>
    </row>
    <row r="19" spans="1:16" ht="25.5" x14ac:dyDescent="0.2">
      <c r="A19" s="72" t="s">
        <v>250</v>
      </c>
      <c r="B19" s="256" t="s">
        <v>327</v>
      </c>
      <c r="C19" s="84" t="s">
        <v>100</v>
      </c>
      <c r="D19" s="138"/>
      <c r="E19" s="184" t="s">
        <v>178</v>
      </c>
      <c r="F19" s="40">
        <v>1</v>
      </c>
      <c r="G19" s="88">
        <f t="shared" si="0"/>
        <v>1</v>
      </c>
      <c r="H19" s="88">
        <f>(1+1+1)/3</f>
        <v>1</v>
      </c>
      <c r="I19" s="69">
        <f>(1+1+1)/3</f>
        <v>1</v>
      </c>
      <c r="J19" s="69">
        <f>(1.15+1.15+1)/3</f>
        <v>1.0999999999999999</v>
      </c>
      <c r="K19" s="69">
        <f>(1+1.12+1)/3</f>
        <v>1.04</v>
      </c>
      <c r="L19" s="95"/>
      <c r="M19" s="150"/>
      <c r="N19" s="150"/>
      <c r="O19" s="150"/>
      <c r="P19" s="150"/>
    </row>
    <row r="20" spans="1:16" ht="25.5" x14ac:dyDescent="0.2">
      <c r="A20" s="72" t="s">
        <v>251</v>
      </c>
      <c r="B20" s="256" t="s">
        <v>328</v>
      </c>
      <c r="C20" s="84" t="s">
        <v>102</v>
      </c>
      <c r="D20" s="138"/>
      <c r="E20" s="184" t="s">
        <v>178</v>
      </c>
      <c r="F20" s="40">
        <v>1</v>
      </c>
      <c r="G20" s="87">
        <f>(1.13+1.68+1.15)/3</f>
        <v>1.3199999999999998</v>
      </c>
      <c r="H20" s="87">
        <f>(1.01+0.99+0.96)/3</f>
        <v>0.98666666666666669</v>
      </c>
      <c r="I20" s="89">
        <f>(1.01+1.01+1.01)/3</f>
        <v>1.01</v>
      </c>
      <c r="J20" s="89">
        <f>(0.99+1.14+1.11)/3</f>
        <v>1.08</v>
      </c>
      <c r="K20" s="89">
        <f>(1.09+1.09+1.23)/3</f>
        <v>1.1366666666666667</v>
      </c>
      <c r="L20" s="35"/>
      <c r="M20" s="150"/>
      <c r="N20" s="150"/>
      <c r="O20" s="150"/>
      <c r="P20" s="150"/>
    </row>
    <row r="21" spans="1:16" ht="38.25" x14ac:dyDescent="0.2">
      <c r="A21" s="72" t="s">
        <v>252</v>
      </c>
      <c r="B21" s="256" t="s">
        <v>343</v>
      </c>
      <c r="C21" s="84" t="s">
        <v>83</v>
      </c>
      <c r="D21" s="138"/>
      <c r="E21" s="183" t="s">
        <v>182</v>
      </c>
      <c r="F21" s="41">
        <v>2</v>
      </c>
      <c r="G21" s="161">
        <f>(2+0+0)/3</f>
        <v>0.66666666666666663</v>
      </c>
      <c r="H21" s="161">
        <f>(0+0+0)/3</f>
        <v>0</v>
      </c>
      <c r="I21" s="161">
        <f>(0+0+0)/3</f>
        <v>0</v>
      </c>
      <c r="J21" s="161"/>
      <c r="K21" s="161"/>
      <c r="L21" s="35"/>
      <c r="M21" s="152"/>
      <c r="N21" s="152"/>
      <c r="O21" s="152"/>
      <c r="P21" s="152"/>
    </row>
    <row r="22" spans="1:16" ht="39.950000000000003" customHeight="1" x14ac:dyDescent="0.2">
      <c r="A22" s="72" t="s">
        <v>253</v>
      </c>
      <c r="B22" s="256" t="s">
        <v>344</v>
      </c>
      <c r="C22" s="84" t="s">
        <v>84</v>
      </c>
      <c r="D22" s="138"/>
      <c r="E22" s="183" t="s">
        <v>182</v>
      </c>
      <c r="F22" s="40">
        <v>0.01</v>
      </c>
      <c r="G22" s="162">
        <f>(0.004+0.0007+0.0022)/3</f>
        <v>2.3E-3</v>
      </c>
      <c r="H22" s="162">
        <f>(0.0081+0.001+0.0007)/3</f>
        <v>3.2666666666666664E-3</v>
      </c>
      <c r="I22" s="162">
        <f>(0+0.0018+0.0038)/3</f>
        <v>1.8666666666666666E-3</v>
      </c>
      <c r="J22" s="162"/>
      <c r="K22" s="162"/>
      <c r="L22" s="134"/>
      <c r="M22" s="149"/>
      <c r="N22" s="149"/>
      <c r="O22" s="149"/>
      <c r="P22" s="149"/>
    </row>
    <row r="23" spans="1:16" ht="25.5" x14ac:dyDescent="0.2">
      <c r="A23" s="72" t="s">
        <v>254</v>
      </c>
      <c r="B23" s="256" t="s">
        <v>329</v>
      </c>
      <c r="C23" s="84" t="s">
        <v>103</v>
      </c>
      <c r="D23" s="138"/>
      <c r="E23" s="183" t="s">
        <v>55</v>
      </c>
      <c r="F23" s="91">
        <v>1</v>
      </c>
      <c r="G23" s="130">
        <f>(0+1+0)/3</f>
        <v>0.33333333333333331</v>
      </c>
      <c r="H23" s="130">
        <f>(0+0+0)/3</f>
        <v>0</v>
      </c>
      <c r="I23" s="130">
        <f>(0+0+0)/3</f>
        <v>0</v>
      </c>
      <c r="J23" s="237">
        <f>(0+0+0)/3</f>
        <v>0</v>
      </c>
      <c r="K23" s="237">
        <f>(0+0+0)/3</f>
        <v>0</v>
      </c>
      <c r="L23" s="35"/>
      <c r="M23" s="153"/>
      <c r="N23" s="153"/>
      <c r="O23" s="153"/>
      <c r="P23" s="153"/>
    </row>
    <row r="24" spans="1:16" s="30" customFormat="1" ht="127.5" x14ac:dyDescent="0.2">
      <c r="A24" s="72" t="s">
        <v>255</v>
      </c>
      <c r="B24" s="257" t="s">
        <v>331</v>
      </c>
      <c r="C24" s="84" t="s">
        <v>85</v>
      </c>
      <c r="D24" s="138" t="s">
        <v>113</v>
      </c>
      <c r="E24" s="183" t="s">
        <v>180</v>
      </c>
      <c r="F24" s="40">
        <v>0.99</v>
      </c>
      <c r="G24" s="174">
        <f>(0.92+0.99+0.98)/3</f>
        <v>0.96333333333333337</v>
      </c>
      <c r="H24" s="185">
        <f>(1+1+0.99)/3</f>
        <v>0.9966666666666667</v>
      </c>
      <c r="I24" s="185">
        <f>(1+1+1)/3</f>
        <v>1</v>
      </c>
      <c r="J24" s="238">
        <f>(1+1+1)/3</f>
        <v>1</v>
      </c>
      <c r="K24" s="264">
        <f>(0.98+0.84+0.95)/3</f>
        <v>0.92333333333333323</v>
      </c>
      <c r="L24" s="95" t="s">
        <v>172</v>
      </c>
      <c r="M24" s="35"/>
      <c r="N24" s="35"/>
      <c r="O24" s="35"/>
      <c r="P24" s="95" t="s">
        <v>382</v>
      </c>
    </row>
    <row r="25" spans="1:16" ht="38.25" x14ac:dyDescent="0.2">
      <c r="A25" s="72" t="s">
        <v>256</v>
      </c>
      <c r="B25" s="257" t="s">
        <v>330</v>
      </c>
      <c r="C25" s="84" t="s">
        <v>86</v>
      </c>
      <c r="D25" s="138" t="s">
        <v>113</v>
      </c>
      <c r="E25" s="183" t="s">
        <v>180</v>
      </c>
      <c r="F25" s="40">
        <v>0.99</v>
      </c>
      <c r="G25" s="69">
        <f>(1+1+1)/3</f>
        <v>1</v>
      </c>
      <c r="H25" s="69">
        <f>(1+1+1)/3</f>
        <v>1</v>
      </c>
      <c r="I25" s="69">
        <f>(1+1+0.99)/3</f>
        <v>0.9966666666666667</v>
      </c>
      <c r="J25" s="69">
        <f>(1+1+1)/3</f>
        <v>1</v>
      </c>
      <c r="K25" s="131">
        <f>(0.87+1+1)/3</f>
        <v>0.95666666666666667</v>
      </c>
      <c r="L25" s="134"/>
      <c r="M25" s="35"/>
      <c r="N25" s="35"/>
      <c r="O25" s="35"/>
      <c r="P25" s="95" t="s">
        <v>375</v>
      </c>
    </row>
    <row r="26" spans="1:16" ht="63.75" x14ac:dyDescent="0.2">
      <c r="A26" s="72" t="s">
        <v>257</v>
      </c>
      <c r="B26" s="257" t="s">
        <v>332</v>
      </c>
      <c r="C26" s="84" t="s">
        <v>87</v>
      </c>
      <c r="D26" s="138" t="s">
        <v>113</v>
      </c>
      <c r="E26" s="183" t="s">
        <v>180</v>
      </c>
      <c r="F26" s="40">
        <v>0.99</v>
      </c>
      <c r="G26" s="131">
        <f>(0.94+1+0.96)/3</f>
        <v>0.96666666666666667</v>
      </c>
      <c r="H26" s="69">
        <f>(0.98+1+1)/3</f>
        <v>0.99333333333333329</v>
      </c>
      <c r="I26" s="69">
        <f>(1+1+0.98)/3</f>
        <v>0.99333333333333329</v>
      </c>
      <c r="J26" s="131">
        <f>(0.99+0.99+0.92)/3</f>
        <v>0.96666666666666667</v>
      </c>
      <c r="K26" s="131">
        <f>(1+0.97+0.96)/3</f>
        <v>0.97666666666666657</v>
      </c>
      <c r="L26" s="95" t="s">
        <v>173</v>
      </c>
      <c r="M26" s="95"/>
      <c r="N26" s="95"/>
      <c r="O26" s="95"/>
      <c r="P26" s="95" t="s">
        <v>378</v>
      </c>
    </row>
    <row r="27" spans="1:16" ht="51" x14ac:dyDescent="0.2">
      <c r="A27" s="72" t="s">
        <v>258</v>
      </c>
      <c r="B27" s="257" t="s">
        <v>333</v>
      </c>
      <c r="C27" s="84" t="s">
        <v>88</v>
      </c>
      <c r="D27" s="138" t="s">
        <v>113</v>
      </c>
      <c r="E27" s="183" t="s">
        <v>180</v>
      </c>
      <c r="F27" s="40">
        <v>0.99</v>
      </c>
      <c r="G27" s="154">
        <f>(0.97+0.99+0.99)/3</f>
        <v>0.98333333333333339</v>
      </c>
      <c r="H27" s="88">
        <f>(0.98+0.99+1)/3</f>
        <v>0.98999999999999988</v>
      </c>
      <c r="I27" s="88">
        <f>(1+0.99+1)/3</f>
        <v>0.9966666666666667</v>
      </c>
      <c r="J27" s="69">
        <f>(1+0.99+1)/3</f>
        <v>0.9966666666666667</v>
      </c>
      <c r="K27" s="131">
        <f>(0.97+0.98+0.97)/3</f>
        <v>0.97333333333333327</v>
      </c>
      <c r="L27" s="95" t="s">
        <v>172</v>
      </c>
      <c r="M27" s="95"/>
      <c r="N27" s="95"/>
      <c r="O27" s="95"/>
      <c r="P27" s="95" t="s">
        <v>380</v>
      </c>
    </row>
    <row r="28" spans="1:16" ht="38.25" x14ac:dyDescent="0.2">
      <c r="A28" s="72" t="s">
        <v>259</v>
      </c>
      <c r="B28" s="257" t="s">
        <v>334</v>
      </c>
      <c r="C28" s="84" t="s">
        <v>89</v>
      </c>
      <c r="D28" s="138"/>
      <c r="E28" s="39" t="s">
        <v>55</v>
      </c>
      <c r="F28" s="40">
        <v>0.99</v>
      </c>
      <c r="G28" s="69">
        <f t="shared" ref="G28" si="1">(1+1+1)/3</f>
        <v>1</v>
      </c>
      <c r="H28" s="131">
        <f>(1+0.84+0.93)/3</f>
        <v>0.92333333333333334</v>
      </c>
      <c r="I28" s="69">
        <f>(1+1+1)/3</f>
        <v>1</v>
      </c>
      <c r="J28" s="69">
        <f>(1+1+1)/3</f>
        <v>1</v>
      </c>
      <c r="K28" s="69">
        <f>(1+1+1)/3</f>
        <v>1</v>
      </c>
      <c r="L28" s="95" t="s">
        <v>181</v>
      </c>
      <c r="M28" s="35"/>
      <c r="N28" s="35"/>
      <c r="O28" s="35"/>
      <c r="P28" s="35"/>
    </row>
    <row r="29" spans="1:16" ht="13.5" thickBot="1" x14ac:dyDescent="0.25">
      <c r="A29" s="76"/>
      <c r="B29" s="77"/>
      <c r="C29" s="78"/>
      <c r="D29" s="79"/>
      <c r="E29" s="44"/>
      <c r="F29" s="45"/>
      <c r="G29" s="45"/>
      <c r="H29" s="45"/>
      <c r="I29" s="45"/>
      <c r="J29" s="45"/>
      <c r="K29" s="45"/>
      <c r="L29" s="80"/>
      <c r="M29" s="35"/>
      <c r="N29" s="35"/>
      <c r="O29" s="35"/>
      <c r="P29" s="35"/>
    </row>
    <row r="30" spans="1:16" ht="35.25" customHeight="1" x14ac:dyDescent="0.2">
      <c r="A30" s="72" t="s">
        <v>260</v>
      </c>
      <c r="B30" s="256" t="s">
        <v>249</v>
      </c>
      <c r="C30" s="82" t="s">
        <v>90</v>
      </c>
      <c r="D30" s="138"/>
      <c r="E30" s="183" t="s">
        <v>2</v>
      </c>
      <c r="F30" s="40">
        <v>0.97</v>
      </c>
      <c r="G30" s="140">
        <f>(1+0.99+0.99)/3</f>
        <v>0.99333333333333329</v>
      </c>
      <c r="H30" s="140">
        <f>(0.99+0.98+1)/3</f>
        <v>0.98999999999999988</v>
      </c>
      <c r="I30" s="140">
        <f>(1+1+1)/3</f>
        <v>1</v>
      </c>
      <c r="J30" s="140">
        <f>(1+1+1)/3</f>
        <v>1</v>
      </c>
      <c r="K30" s="140">
        <f>(0.99+1+1)/3</f>
        <v>0.9966666666666667</v>
      </c>
      <c r="L30" s="95"/>
      <c r="M30" s="134"/>
      <c r="N30" s="134"/>
      <c r="O30" s="134"/>
      <c r="P30" s="134"/>
    </row>
    <row r="31" spans="1:16" ht="31.5" customHeight="1" x14ac:dyDescent="0.2">
      <c r="A31" s="72" t="s">
        <v>261</v>
      </c>
      <c r="B31" s="256" t="s">
        <v>258</v>
      </c>
      <c r="C31" s="85" t="s">
        <v>91</v>
      </c>
      <c r="D31" s="138"/>
      <c r="E31" s="183" t="s">
        <v>2</v>
      </c>
      <c r="F31" s="40">
        <v>0.97</v>
      </c>
      <c r="G31" s="69">
        <f>(1+1+1)/3</f>
        <v>1</v>
      </c>
      <c r="H31" s="69">
        <f>(1+1+1)/3</f>
        <v>1</v>
      </c>
      <c r="I31" s="69">
        <f>(1+1+0.99)/3</f>
        <v>0.9966666666666667</v>
      </c>
      <c r="J31" s="69">
        <f>(1+1+1)/3</f>
        <v>1</v>
      </c>
      <c r="K31" s="131">
        <f>(0.87+1+1)/3</f>
        <v>0.95666666666666667</v>
      </c>
      <c r="L31" s="95"/>
      <c r="M31" s="35"/>
      <c r="N31" s="35"/>
      <c r="O31" s="35"/>
      <c r="P31" s="95" t="s">
        <v>376</v>
      </c>
    </row>
    <row r="32" spans="1:16" ht="25.5" x14ac:dyDescent="0.2">
      <c r="A32" s="72" t="s">
        <v>262</v>
      </c>
      <c r="B32" s="256" t="s">
        <v>259</v>
      </c>
      <c r="C32" s="81" t="s">
        <v>92</v>
      </c>
      <c r="D32" s="138"/>
      <c r="E32" s="183" t="s">
        <v>2</v>
      </c>
      <c r="F32" s="40">
        <v>0.97</v>
      </c>
      <c r="G32" s="143">
        <f>(0.97+0.99+0.98)/3</f>
        <v>0.98</v>
      </c>
      <c r="H32" s="143">
        <f>(1+1+1)/3</f>
        <v>1</v>
      </c>
      <c r="I32" s="140">
        <f>(1+1+1)/3</f>
        <v>1</v>
      </c>
      <c r="J32" s="140">
        <f>(1+1+1)/3</f>
        <v>1</v>
      </c>
      <c r="K32" s="262">
        <f>(0.98+0.84+0.95)/3</f>
        <v>0.92333333333333323</v>
      </c>
      <c r="L32" s="95"/>
      <c r="M32" s="134"/>
      <c r="N32" s="134"/>
      <c r="O32" s="134"/>
      <c r="P32" s="95" t="s">
        <v>377</v>
      </c>
    </row>
    <row r="33" spans="1:16" ht="76.5" x14ac:dyDescent="0.2">
      <c r="A33" s="72" t="s">
        <v>263</v>
      </c>
      <c r="B33" s="256" t="s">
        <v>335</v>
      </c>
      <c r="C33" s="81" t="s">
        <v>93</v>
      </c>
      <c r="D33" s="135"/>
      <c r="E33" s="183" t="s">
        <v>2</v>
      </c>
      <c r="F33" s="40">
        <v>0.97</v>
      </c>
      <c r="G33" s="155">
        <f>(0.94+1+0.97)/3</f>
        <v>0.97000000000000008</v>
      </c>
      <c r="H33" s="69">
        <f>(0.97+1+1)/3</f>
        <v>0.98999999999999988</v>
      </c>
      <c r="I33" s="69">
        <f>(1+1+0.98)/3</f>
        <v>0.99333333333333329</v>
      </c>
      <c r="J33" s="239">
        <f>(0.99+0.99+0.92)/3</f>
        <v>0.96666666666666667</v>
      </c>
      <c r="K33" s="239">
        <f>(1+0.97+0.96)/3</f>
        <v>0.97666666666666657</v>
      </c>
      <c r="L33" s="95" t="s">
        <v>147</v>
      </c>
      <c r="M33" s="95"/>
      <c r="N33" s="95"/>
      <c r="O33" s="95"/>
      <c r="P33" s="95" t="s">
        <v>379</v>
      </c>
    </row>
    <row r="34" spans="1:16" s="30" customFormat="1" ht="25.5" x14ac:dyDescent="0.2">
      <c r="A34" s="72" t="s">
        <v>264</v>
      </c>
      <c r="B34" s="257" t="s">
        <v>336</v>
      </c>
      <c r="C34" s="81" t="s">
        <v>94</v>
      </c>
      <c r="D34" s="135"/>
      <c r="E34" s="183" t="s">
        <v>2</v>
      </c>
      <c r="F34" s="40">
        <v>0.97</v>
      </c>
      <c r="G34" s="88">
        <f>(0.97+0.99+0.99)/3</f>
        <v>0.98333333333333339</v>
      </c>
      <c r="H34" s="88">
        <f>(0.99+0.99+1)/3</f>
        <v>0.99333333333333329</v>
      </c>
      <c r="I34" s="69">
        <f>(1+0.99+1)/3</f>
        <v>0.9966666666666667</v>
      </c>
      <c r="J34" s="69">
        <f>(1+0.99+1)/3</f>
        <v>0.9966666666666667</v>
      </c>
      <c r="K34" s="263">
        <f>(0.97+0.98+0.97)/3</f>
        <v>0.97333333333333327</v>
      </c>
      <c r="L34" s="95"/>
      <c r="M34" s="80"/>
      <c r="N34" s="80"/>
      <c r="O34" s="80"/>
      <c r="P34" s="95" t="s">
        <v>381</v>
      </c>
    </row>
    <row r="35" spans="1:16" ht="38.25" x14ac:dyDescent="0.2">
      <c r="A35" s="72" t="s">
        <v>265</v>
      </c>
      <c r="B35" s="257" t="s">
        <v>337</v>
      </c>
      <c r="C35" s="81" t="s">
        <v>95</v>
      </c>
      <c r="D35" s="135"/>
      <c r="E35" s="183" t="s">
        <v>2</v>
      </c>
      <c r="F35" s="40">
        <v>0.95</v>
      </c>
      <c r="G35" s="69">
        <f>((1+1+1)*42+(168-42)*(1+1+1))/(168*3)</f>
        <v>1</v>
      </c>
      <c r="H35" s="155">
        <f>((1+1+1)*42+(168-42)*(1+0.8+1))/(168*3)</f>
        <v>0.95</v>
      </c>
      <c r="I35" s="69">
        <f>((1+1+1)*42+(168-42)*(1+1+1))/(168*3)</f>
        <v>1</v>
      </c>
      <c r="J35" s="69">
        <f>((1+1+1)*42+(168-42)*(1+1+1))/(168*3)</f>
        <v>1</v>
      </c>
      <c r="K35" s="69">
        <f>((1+1+1)*42+(168-42)*(1+1+1))/(168*3)</f>
        <v>1</v>
      </c>
      <c r="L35" s="95" t="s">
        <v>179</v>
      </c>
      <c r="M35" s="95"/>
      <c r="N35" s="95"/>
      <c r="O35" s="95"/>
      <c r="P35" s="95"/>
    </row>
    <row r="36" spans="1:16" ht="38.25" x14ac:dyDescent="0.2">
      <c r="A36" s="72" t="s">
        <v>266</v>
      </c>
      <c r="B36" s="257" t="s">
        <v>338</v>
      </c>
      <c r="C36" s="81" t="s">
        <v>96</v>
      </c>
      <c r="D36" s="135"/>
      <c r="E36" s="183" t="s">
        <v>2</v>
      </c>
      <c r="F36" s="93" t="s">
        <v>104</v>
      </c>
      <c r="G36" s="90">
        <f>(0+1+1)/3</f>
        <v>0.66666666666666663</v>
      </c>
      <c r="H36" s="90">
        <f>(0+0+0)/3</f>
        <v>0</v>
      </c>
      <c r="I36" s="90">
        <f>(1+0+0)/3</f>
        <v>0.33333333333333331</v>
      </c>
      <c r="J36" s="240">
        <f>(0+3+1)/3</f>
        <v>1.3333333333333333</v>
      </c>
      <c r="K36" s="255">
        <f>(0+0+1)/3</f>
        <v>0.33333333333333331</v>
      </c>
      <c r="L36" s="134"/>
      <c r="M36" s="95"/>
      <c r="N36" s="95"/>
      <c r="O36" s="95"/>
      <c r="P36" s="95"/>
    </row>
    <row r="37" spans="1:16" ht="25.5" x14ac:dyDescent="0.2">
      <c r="A37" s="72" t="s">
        <v>267</v>
      </c>
      <c r="B37" s="257" t="s">
        <v>339</v>
      </c>
      <c r="C37" s="81" t="s">
        <v>97</v>
      </c>
      <c r="D37" s="135"/>
      <c r="E37" s="184" t="s">
        <v>178</v>
      </c>
      <c r="F37" s="40">
        <v>0.7</v>
      </c>
      <c r="G37" s="69">
        <f>(0.88+0.78+0.85)/3</f>
        <v>0.83666666666666678</v>
      </c>
      <c r="H37" s="69">
        <f>(0.88+0.87+0.83)/3</f>
        <v>0.86</v>
      </c>
      <c r="I37" s="219">
        <f>(0.89+0.9+0.89)/3</f>
        <v>0.89333333333333342</v>
      </c>
      <c r="J37" s="240">
        <f>(0.85+0.82+0.83)/3</f>
        <v>0.83333333333333337</v>
      </c>
      <c r="K37" s="255">
        <f>(0.84+0.79+0.72)/3</f>
        <v>0.78333333333333321</v>
      </c>
      <c r="L37" s="134"/>
      <c r="M37" s="95"/>
      <c r="N37" s="95"/>
      <c r="O37" s="95"/>
      <c r="P37" s="95"/>
    </row>
    <row r="38" spans="1:16" x14ac:dyDescent="0.2">
      <c r="A38" s="72" t="s">
        <v>268</v>
      </c>
      <c r="B38" s="257" t="s">
        <v>340</v>
      </c>
      <c r="C38" s="81" t="s">
        <v>98</v>
      </c>
      <c r="D38" s="135"/>
      <c r="E38" s="184" t="s">
        <v>178</v>
      </c>
      <c r="F38" s="40">
        <v>0.7</v>
      </c>
      <c r="G38" s="69">
        <f>(0.83+0.9+0.93)/3</f>
        <v>0.88666666666666671</v>
      </c>
      <c r="H38" s="69">
        <f>(0.88+0.93+0.95)/3</f>
        <v>0.91999999999999993</v>
      </c>
      <c r="I38" s="69">
        <f>(0.91+0.93+0.92)/3</f>
        <v>0.92</v>
      </c>
      <c r="J38" s="240">
        <f>(0.92+0.95+0.97)/3</f>
        <v>0.94666666666666666</v>
      </c>
      <c r="K38" s="255">
        <f>(0.97+0.88+0.98)/3</f>
        <v>0.94333333333333336</v>
      </c>
      <c r="L38" s="134"/>
      <c r="M38" s="95"/>
      <c r="N38" s="95"/>
      <c r="O38" s="95"/>
      <c r="P38" s="95"/>
    </row>
    <row r="39" spans="1:16" ht="25.5" x14ac:dyDescent="0.2">
      <c r="A39" s="72" t="s">
        <v>269</v>
      </c>
      <c r="B39" s="257" t="s">
        <v>341</v>
      </c>
      <c r="C39" s="81" t="s">
        <v>105</v>
      </c>
      <c r="D39" s="135"/>
      <c r="E39" s="184" t="s">
        <v>178</v>
      </c>
      <c r="F39" s="40">
        <v>0.2</v>
      </c>
      <c r="G39" s="69">
        <f>(0.78+0.78+0.79)/3</f>
        <v>0.78333333333333333</v>
      </c>
      <c r="H39" s="69">
        <f>(0.77+0.77+0.78)/3</f>
        <v>0.77333333333333343</v>
      </c>
      <c r="I39" s="69">
        <f>(0.76+0.79+0.82)/3</f>
        <v>0.79</v>
      </c>
      <c r="J39" s="240">
        <f>(0.85+0.7+0.75)/3</f>
        <v>0.76666666666666661</v>
      </c>
      <c r="K39" s="255">
        <f>(0.78+0.79+0.75)/3</f>
        <v>0.77333333333333343</v>
      </c>
      <c r="L39" s="134"/>
      <c r="M39" s="95"/>
      <c r="N39" s="95"/>
      <c r="O39" s="95"/>
      <c r="P39" s="95"/>
    </row>
    <row r="40" spans="1:16" ht="13.5" thickBot="1" x14ac:dyDescent="0.25">
      <c r="A40" s="72" t="s">
        <v>270</v>
      </c>
      <c r="B40" s="257" t="s">
        <v>342</v>
      </c>
      <c r="C40" s="86" t="s">
        <v>106</v>
      </c>
      <c r="D40" s="135"/>
      <c r="E40" s="39" t="s">
        <v>55</v>
      </c>
      <c r="F40" s="41">
        <f>6770*0.8</f>
        <v>5416</v>
      </c>
      <c r="G40" s="92">
        <f>(15314+15690+16230)/3</f>
        <v>15744.666666666666</v>
      </c>
      <c r="H40" s="92">
        <f>(16600+17200+17900)/3</f>
        <v>17233.333333333332</v>
      </c>
      <c r="I40" s="220">
        <f>(18100+19160+19760)/3</f>
        <v>19006.666666666668</v>
      </c>
      <c r="J40" s="240">
        <f>(20980+21600+22600)/3</f>
        <v>21726.666666666668</v>
      </c>
      <c r="K40" s="255">
        <f>(22900+22480+21970)/3</f>
        <v>22450</v>
      </c>
      <c r="L40" s="134"/>
      <c r="M40" s="95"/>
      <c r="N40" s="95"/>
      <c r="O40" s="95"/>
      <c r="P40" s="95"/>
    </row>
    <row r="41" spans="1:16" x14ac:dyDescent="0.2">
      <c r="L41" s="27"/>
      <c r="M41" s="27"/>
      <c r="N41" s="27"/>
      <c r="O41" s="27"/>
      <c r="P41" s="27"/>
    </row>
    <row r="42" spans="1:16" ht="13.5" thickBot="1" x14ac:dyDescent="0.25">
      <c r="A42" s="206" t="s">
        <v>271</v>
      </c>
    </row>
    <row r="43" spans="1:16" ht="26.25" thickTop="1" x14ac:dyDescent="0.2">
      <c r="A43" s="207" t="s">
        <v>202</v>
      </c>
      <c r="B43" s="208"/>
      <c r="C43" s="209" t="s">
        <v>203</v>
      </c>
      <c r="D43" s="210"/>
      <c r="E43" s="211" t="s">
        <v>212</v>
      </c>
      <c r="F43" s="210"/>
      <c r="G43" s="212"/>
      <c r="H43" s="212"/>
      <c r="I43" s="212"/>
      <c r="J43" s="212"/>
      <c r="K43" s="212"/>
      <c r="L43" s="210"/>
      <c r="M43" s="213"/>
      <c r="N43" s="213"/>
      <c r="O43" s="213"/>
      <c r="P43" s="213"/>
    </row>
    <row r="44" spans="1:16" ht="25.5" x14ac:dyDescent="0.2">
      <c r="A44" s="214" t="s">
        <v>208</v>
      </c>
      <c r="B44" s="197"/>
      <c r="C44" s="198" t="s">
        <v>204</v>
      </c>
      <c r="D44" s="38"/>
      <c r="E44" s="200" t="s">
        <v>212</v>
      </c>
      <c r="F44" s="38"/>
      <c r="G44" s="201"/>
      <c r="H44" s="201"/>
      <c r="I44" s="201"/>
      <c r="J44" s="201"/>
      <c r="K44" s="201"/>
      <c r="L44" s="38"/>
      <c r="M44" s="215"/>
      <c r="N44" s="215"/>
      <c r="O44" s="215"/>
      <c r="P44" s="215"/>
    </row>
    <row r="45" spans="1:16" ht="63.75" customHeight="1" x14ac:dyDescent="0.2">
      <c r="A45" s="214" t="s">
        <v>209</v>
      </c>
      <c r="B45" s="197"/>
      <c r="C45" s="199" t="s">
        <v>205</v>
      </c>
      <c r="D45" s="38"/>
      <c r="E45" s="200" t="s">
        <v>212</v>
      </c>
      <c r="F45" s="38"/>
      <c r="G45" s="201"/>
      <c r="H45" s="201"/>
      <c r="I45" s="201"/>
      <c r="J45" s="201"/>
      <c r="K45" s="201"/>
      <c r="L45" s="38"/>
      <c r="M45" s="216"/>
      <c r="N45" s="216"/>
      <c r="O45" s="216"/>
      <c r="P45" s="216"/>
    </row>
    <row r="46" spans="1:16" s="279" customFormat="1" ht="84.75" customHeight="1" x14ac:dyDescent="0.2">
      <c r="A46" s="269" t="s">
        <v>210</v>
      </c>
      <c r="B46" s="270"/>
      <c r="C46" s="271" t="s">
        <v>206</v>
      </c>
      <c r="D46" s="272"/>
      <c r="E46" s="273" t="s">
        <v>212</v>
      </c>
      <c r="F46" s="274" t="s">
        <v>213</v>
      </c>
      <c r="G46" s="275"/>
      <c r="H46" s="276" t="s">
        <v>300</v>
      </c>
      <c r="I46" s="276" t="s">
        <v>301</v>
      </c>
      <c r="J46" s="277" t="s">
        <v>385</v>
      </c>
      <c r="K46" s="275"/>
      <c r="L46" s="272"/>
      <c r="M46" s="278"/>
      <c r="N46" s="278"/>
      <c r="O46" s="278"/>
      <c r="P46" s="278" t="s">
        <v>387</v>
      </c>
    </row>
    <row r="47" spans="1:16" s="279" customFormat="1" ht="54" customHeight="1" thickBot="1" x14ac:dyDescent="0.25">
      <c r="A47" s="280" t="s">
        <v>211</v>
      </c>
      <c r="B47" s="281"/>
      <c r="C47" s="282" t="s">
        <v>207</v>
      </c>
      <c r="D47" s="283"/>
      <c r="E47" s="284" t="s">
        <v>212</v>
      </c>
      <c r="F47" s="285" t="s">
        <v>213</v>
      </c>
      <c r="G47" s="286"/>
      <c r="H47" s="276">
        <v>99.92</v>
      </c>
      <c r="I47" s="276">
        <v>100</v>
      </c>
      <c r="J47" s="288"/>
      <c r="K47" s="288">
        <v>100</v>
      </c>
      <c r="L47" s="283"/>
      <c r="M47" s="287"/>
      <c r="N47" s="287"/>
      <c r="O47" s="287"/>
      <c r="P47" s="287"/>
    </row>
    <row r="48" spans="1:16" ht="13.5" thickTop="1" x14ac:dyDescent="0.2"/>
  </sheetData>
  <phoneticPr fontId="0"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topLeftCell="A16" zoomScale="80" zoomScaleNormal="80" zoomScalePageLayoutView="90" workbookViewId="0">
      <selection activeCell="G10" sqref="G10:K10"/>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19" t="str">
        <f>Metrics!B4</f>
        <v>Q416</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352" t="s">
        <v>11</v>
      </c>
      <c r="C8" s="346"/>
      <c r="D8" s="346"/>
      <c r="E8" s="346"/>
      <c r="F8" s="347"/>
      <c r="G8" s="346" t="s">
        <v>12</v>
      </c>
      <c r="H8" s="346"/>
      <c r="I8" s="346"/>
      <c r="J8" s="346"/>
      <c r="K8" s="347"/>
    </row>
    <row r="9" spans="1:14" ht="122.25" customHeight="1" x14ac:dyDescent="0.2">
      <c r="A9" s="64" t="s">
        <v>58</v>
      </c>
      <c r="B9" s="348" t="s">
        <v>285</v>
      </c>
      <c r="C9" s="349"/>
      <c r="D9" s="349"/>
      <c r="E9" s="349"/>
      <c r="F9" s="349"/>
      <c r="G9" s="350" t="s">
        <v>275</v>
      </c>
      <c r="H9" s="350"/>
      <c r="I9" s="350"/>
      <c r="J9" s="350"/>
      <c r="K9" s="351"/>
      <c r="N9" s="163"/>
    </row>
    <row r="10" spans="1:14" ht="217.5" customHeight="1" x14ac:dyDescent="0.2">
      <c r="A10" s="65" t="s">
        <v>52</v>
      </c>
      <c r="B10" s="333" t="s">
        <v>190</v>
      </c>
      <c r="C10" s="334"/>
      <c r="D10" s="334"/>
      <c r="E10" s="334"/>
      <c r="F10" s="334"/>
      <c r="G10" s="337"/>
      <c r="H10" s="337"/>
      <c r="I10" s="337"/>
      <c r="J10" s="337"/>
      <c r="K10" s="338"/>
    </row>
    <row r="11" spans="1:14" ht="143.25" customHeight="1" x14ac:dyDescent="0.2">
      <c r="A11" s="65" t="s">
        <v>48</v>
      </c>
      <c r="B11" s="333" t="s">
        <v>278</v>
      </c>
      <c r="C11" s="334"/>
      <c r="D11" s="334"/>
      <c r="E11" s="334"/>
      <c r="F11" s="334"/>
      <c r="G11" s="337" t="s">
        <v>276</v>
      </c>
      <c r="H11" s="337"/>
      <c r="I11" s="337"/>
      <c r="J11" s="337"/>
      <c r="K11" s="338"/>
    </row>
    <row r="12" spans="1:14" ht="194.25" customHeight="1" x14ac:dyDescent="0.2">
      <c r="A12" s="65" t="s">
        <v>60</v>
      </c>
      <c r="B12" s="333" t="s">
        <v>279</v>
      </c>
      <c r="C12" s="334"/>
      <c r="D12" s="334"/>
      <c r="E12" s="334"/>
      <c r="F12" s="334"/>
      <c r="G12" s="337"/>
      <c r="H12" s="337"/>
      <c r="I12" s="337"/>
      <c r="J12" s="337"/>
      <c r="K12" s="338"/>
    </row>
    <row r="13" spans="1:14" ht="243.75" customHeight="1" x14ac:dyDescent="0.2">
      <c r="A13" s="65" t="s">
        <v>59</v>
      </c>
      <c r="B13" s="333"/>
      <c r="C13" s="334"/>
      <c r="D13" s="334"/>
      <c r="E13" s="334"/>
      <c r="F13" s="334"/>
      <c r="G13" s="334"/>
      <c r="H13" s="334"/>
      <c r="I13" s="334"/>
      <c r="J13" s="334"/>
      <c r="K13" s="339"/>
    </row>
    <row r="14" spans="1:14" ht="129.75" customHeight="1" x14ac:dyDescent="0.2">
      <c r="A14" s="65" t="s">
        <v>74</v>
      </c>
      <c r="B14" s="333" t="s">
        <v>282</v>
      </c>
      <c r="C14" s="334"/>
      <c r="D14" s="334"/>
      <c r="E14" s="334"/>
      <c r="F14" s="334"/>
      <c r="G14" s="334"/>
      <c r="H14" s="334"/>
      <c r="I14" s="334"/>
      <c r="J14" s="334"/>
      <c r="K14" s="339"/>
    </row>
    <row r="15" spans="1:14" ht="134.25" customHeight="1" x14ac:dyDescent="0.2">
      <c r="A15" s="66" t="s">
        <v>70</v>
      </c>
      <c r="B15" s="333" t="s">
        <v>280</v>
      </c>
      <c r="C15" s="334"/>
      <c r="D15" s="334"/>
      <c r="E15" s="334"/>
      <c r="F15" s="334"/>
      <c r="G15" s="334"/>
      <c r="H15" s="334"/>
      <c r="I15" s="334"/>
      <c r="J15" s="334"/>
      <c r="K15" s="339"/>
    </row>
    <row r="16" spans="1:14" ht="212.25" customHeight="1" x14ac:dyDescent="0.2">
      <c r="A16" s="65" t="s">
        <v>1</v>
      </c>
      <c r="B16" s="333"/>
      <c r="C16" s="334"/>
      <c r="D16" s="334"/>
      <c r="E16" s="334"/>
      <c r="F16" s="334"/>
      <c r="G16" s="334" t="s">
        <v>277</v>
      </c>
      <c r="H16" s="334"/>
      <c r="I16" s="334"/>
      <c r="J16" s="334"/>
      <c r="K16" s="339"/>
    </row>
    <row r="17" spans="1:11" ht="158.25" customHeight="1" x14ac:dyDescent="0.2">
      <c r="A17" s="65" t="s">
        <v>51</v>
      </c>
      <c r="B17" s="333" t="s">
        <v>284</v>
      </c>
      <c r="C17" s="334"/>
      <c r="D17" s="334"/>
      <c r="E17" s="334"/>
      <c r="F17" s="334"/>
      <c r="G17" s="334" t="s">
        <v>281</v>
      </c>
      <c r="H17" s="334"/>
      <c r="I17" s="334"/>
      <c r="J17" s="334"/>
      <c r="K17" s="339"/>
    </row>
    <row r="18" spans="1:11" ht="146.25" customHeight="1" thickBot="1" x14ac:dyDescent="0.25">
      <c r="A18" s="67" t="s">
        <v>110</v>
      </c>
      <c r="B18" s="363" t="s">
        <v>283</v>
      </c>
      <c r="C18" s="361"/>
      <c r="D18" s="361"/>
      <c r="E18" s="361"/>
      <c r="F18" s="364"/>
      <c r="G18" s="360"/>
      <c r="H18" s="361"/>
      <c r="I18" s="361"/>
      <c r="J18" s="361"/>
      <c r="K18" s="362"/>
    </row>
    <row r="19" spans="1:11" ht="146.25" customHeight="1" thickBot="1" x14ac:dyDescent="0.25">
      <c r="A19" s="67" t="s">
        <v>111</v>
      </c>
      <c r="B19" s="195"/>
      <c r="C19" s="193"/>
      <c r="D19" s="193"/>
      <c r="E19" s="193"/>
      <c r="F19" s="196"/>
      <c r="G19" s="192"/>
      <c r="H19" s="193"/>
      <c r="I19" s="193"/>
      <c r="J19" s="193"/>
      <c r="K19" s="194"/>
    </row>
    <row r="20" spans="1:11" ht="146.25" customHeight="1" thickBot="1" x14ac:dyDescent="0.25">
      <c r="A20" s="67" t="s">
        <v>273</v>
      </c>
      <c r="B20" s="400" t="s">
        <v>303</v>
      </c>
      <c r="C20" s="401"/>
      <c r="D20" s="401"/>
      <c r="E20" s="401"/>
      <c r="F20" s="402"/>
      <c r="G20" s="403" t="s">
        <v>304</v>
      </c>
      <c r="H20" s="401"/>
      <c r="I20" s="401"/>
      <c r="J20" s="401"/>
      <c r="K20" s="404"/>
    </row>
    <row r="21" spans="1:11" ht="127.5" customHeight="1" thickBot="1" x14ac:dyDescent="0.25">
      <c r="A21" s="67" t="s">
        <v>274</v>
      </c>
      <c r="B21" s="363" t="s">
        <v>302</v>
      </c>
      <c r="C21" s="361"/>
      <c r="D21" s="361"/>
      <c r="E21" s="361"/>
      <c r="F21" s="364"/>
      <c r="G21" s="360"/>
      <c r="H21" s="361"/>
      <c r="I21" s="361"/>
      <c r="J21" s="361"/>
      <c r="K21" s="362"/>
    </row>
    <row r="22" spans="1:11" x14ac:dyDescent="0.2">
      <c r="A22" s="30" t="s">
        <v>15</v>
      </c>
      <c r="B22" s="30"/>
      <c r="C22" s="30"/>
      <c r="D22" s="30"/>
      <c r="E22" s="30"/>
      <c r="F22" s="30"/>
      <c r="G22" s="30"/>
      <c r="H22" s="30"/>
      <c r="I22" s="30"/>
      <c r="J22" s="30"/>
      <c r="K22" s="30"/>
    </row>
    <row r="23" spans="1:11" x14ac:dyDescent="0.2">
      <c r="A23" s="30"/>
      <c r="B23" s="30"/>
      <c r="C23" s="30"/>
      <c r="D23" s="30"/>
      <c r="E23" s="30"/>
      <c r="F23" s="30"/>
      <c r="G23" s="30"/>
      <c r="H23" s="30"/>
      <c r="I23" s="30"/>
      <c r="J23" s="30"/>
      <c r="K23" s="30"/>
    </row>
    <row r="24" spans="1:11" ht="13.5" thickBot="1" x14ac:dyDescent="0.25">
      <c r="A24" s="1" t="s">
        <v>13</v>
      </c>
    </row>
    <row r="25" spans="1:11" ht="13.5" thickBot="1" x14ac:dyDescent="0.25">
      <c r="A25" s="292" t="s">
        <v>14</v>
      </c>
      <c r="B25" s="293"/>
      <c r="C25" s="293"/>
      <c r="D25" s="293"/>
      <c r="E25" s="293"/>
      <c r="F25" s="293" t="s">
        <v>16</v>
      </c>
      <c r="G25" s="293"/>
      <c r="H25" s="293"/>
      <c r="I25" s="293"/>
      <c r="J25" s="326"/>
    </row>
    <row r="26" spans="1:11" ht="81" customHeight="1" thickBot="1" x14ac:dyDescent="0.25">
      <c r="A26" s="319" t="s">
        <v>135</v>
      </c>
      <c r="B26" s="357"/>
      <c r="C26" s="357"/>
      <c r="D26" s="357"/>
      <c r="E26" s="359"/>
      <c r="F26" s="307" t="s">
        <v>136</v>
      </c>
      <c r="G26" s="357"/>
      <c r="H26" s="357"/>
      <c r="I26" s="357"/>
      <c r="J26" s="358"/>
    </row>
    <row r="27" spans="1:11" ht="13.5" thickBot="1" x14ac:dyDescent="0.25">
      <c r="A27" s="355"/>
      <c r="B27" s="331"/>
      <c r="C27" s="331"/>
      <c r="D27" s="331"/>
      <c r="E27" s="356"/>
      <c r="F27" s="353"/>
      <c r="G27" s="353"/>
      <c r="H27" s="353"/>
      <c r="I27" s="353"/>
      <c r="J27" s="354"/>
    </row>
    <row r="29" spans="1:11" ht="13.5" thickBot="1" x14ac:dyDescent="0.25">
      <c r="A29" s="1" t="s">
        <v>43</v>
      </c>
    </row>
    <row r="30" spans="1:11" ht="13.5" thickBot="1" x14ac:dyDescent="0.25">
      <c r="A30" s="292" t="s">
        <v>14</v>
      </c>
      <c r="B30" s="293"/>
      <c r="C30" s="293"/>
      <c r="D30" s="293"/>
      <c r="E30" s="293"/>
      <c r="F30" s="293" t="s">
        <v>16</v>
      </c>
      <c r="G30" s="293"/>
      <c r="H30" s="293"/>
      <c r="I30" s="293"/>
      <c r="J30" s="326"/>
    </row>
    <row r="31" spans="1:11" ht="57" customHeight="1" thickBot="1" x14ac:dyDescent="0.25">
      <c r="A31" s="397" t="s">
        <v>292</v>
      </c>
      <c r="B31" s="398"/>
      <c r="C31" s="398"/>
      <c r="D31" s="398"/>
      <c r="E31" s="398"/>
      <c r="F31" s="398" t="s">
        <v>293</v>
      </c>
      <c r="G31" s="398"/>
      <c r="H31" s="398"/>
      <c r="I31" s="398"/>
      <c r="J31" s="399"/>
    </row>
    <row r="32" spans="1:11" ht="86.25" customHeight="1" thickBot="1" x14ac:dyDescent="0.25">
      <c r="A32" s="312" t="s">
        <v>157</v>
      </c>
      <c r="B32" s="313"/>
      <c r="C32" s="313"/>
      <c r="D32" s="313"/>
      <c r="E32" s="313"/>
      <c r="F32" s="316" t="s">
        <v>142</v>
      </c>
      <c r="G32" s="365"/>
      <c r="H32" s="365"/>
      <c r="I32" s="365"/>
      <c r="J32" s="366"/>
    </row>
    <row r="33" spans="1:15" ht="93" customHeight="1" thickBot="1" x14ac:dyDescent="0.25">
      <c r="A33" s="312" t="s">
        <v>144</v>
      </c>
      <c r="B33" s="313"/>
      <c r="C33" s="313"/>
      <c r="D33" s="313"/>
      <c r="E33" s="313"/>
      <c r="F33" s="316" t="s">
        <v>195</v>
      </c>
      <c r="G33" s="365"/>
      <c r="H33" s="365"/>
      <c r="I33" s="365"/>
      <c r="J33" s="366"/>
    </row>
    <row r="34" spans="1:15" ht="135" customHeight="1" thickBot="1" x14ac:dyDescent="0.25">
      <c r="A34" s="312" t="s">
        <v>141</v>
      </c>
      <c r="B34" s="313"/>
      <c r="C34" s="313"/>
      <c r="D34" s="313"/>
      <c r="E34" s="313"/>
      <c r="F34" s="316" t="s">
        <v>143</v>
      </c>
      <c r="G34" s="365"/>
      <c r="H34" s="365"/>
      <c r="I34" s="365"/>
      <c r="J34" s="366"/>
    </row>
    <row r="35" spans="1:15" ht="166.5" customHeight="1" thickBot="1" x14ac:dyDescent="0.25">
      <c r="A35" s="319" t="s">
        <v>286</v>
      </c>
      <c r="B35" s="357"/>
      <c r="C35" s="357"/>
      <c r="D35" s="357"/>
      <c r="E35" s="359"/>
      <c r="F35" s="307" t="s">
        <v>287</v>
      </c>
      <c r="G35" s="357"/>
      <c r="H35" s="357"/>
      <c r="I35" s="357"/>
      <c r="J35" s="358"/>
    </row>
    <row r="37" spans="1:15" ht="13.5" thickBot="1" x14ac:dyDescent="0.25">
      <c r="A37" s="1" t="s">
        <v>17</v>
      </c>
    </row>
    <row r="38" spans="1:15" ht="13.5" thickBot="1" x14ac:dyDescent="0.25">
      <c r="A38" s="292" t="s">
        <v>18</v>
      </c>
      <c r="B38" s="293"/>
      <c r="C38" s="293"/>
      <c r="D38" s="293"/>
      <c r="E38" s="293"/>
      <c r="F38" s="294" t="s">
        <v>19</v>
      </c>
      <c r="G38" s="295"/>
      <c r="H38" s="294" t="s">
        <v>20</v>
      </c>
      <c r="I38" s="293"/>
      <c r="J38" s="293"/>
      <c r="K38" s="293"/>
      <c r="L38" s="326"/>
    </row>
    <row r="39" spans="1:15" ht="42.75" customHeight="1" thickBot="1" x14ac:dyDescent="0.25">
      <c r="A39" s="303"/>
      <c r="B39" s="304"/>
      <c r="C39" s="304"/>
      <c r="D39" s="304"/>
      <c r="E39" s="304"/>
      <c r="F39" s="371"/>
      <c r="G39" s="306"/>
      <c r="H39" s="307"/>
      <c r="I39" s="310"/>
      <c r="J39" s="310"/>
      <c r="K39" s="310"/>
      <c r="L39" s="311"/>
    </row>
    <row r="40" spans="1:15" ht="42.75" customHeight="1" thickBot="1" x14ac:dyDescent="0.25">
      <c r="A40" s="303"/>
      <c r="B40" s="304"/>
      <c r="C40" s="304"/>
      <c r="D40" s="304"/>
      <c r="E40" s="304"/>
      <c r="F40" s="305"/>
      <c r="G40" s="306"/>
      <c r="H40" s="307"/>
      <c r="I40" s="308"/>
      <c r="J40" s="308"/>
      <c r="K40" s="308"/>
      <c r="L40" s="309"/>
    </row>
    <row r="41" spans="1:15" ht="12" customHeight="1" thickBot="1" x14ac:dyDescent="0.25">
      <c r="A41" s="58"/>
      <c r="B41" s="190"/>
      <c r="C41" s="190"/>
      <c r="D41" s="190"/>
      <c r="E41" s="191"/>
      <c r="F41" s="186"/>
      <c r="G41" s="187"/>
      <c r="H41" s="55"/>
      <c r="I41" s="188"/>
      <c r="J41" s="188"/>
      <c r="K41" s="188"/>
      <c r="L41" s="189"/>
    </row>
    <row r="42" spans="1:15" ht="24.75" customHeight="1" x14ac:dyDescent="0.2">
      <c r="O42" s="32"/>
    </row>
    <row r="43" spans="1:15" ht="24.75" customHeight="1" thickBot="1" x14ac:dyDescent="0.25">
      <c r="A43" s="1" t="s">
        <v>21</v>
      </c>
      <c r="O43" s="32"/>
    </row>
    <row r="44" spans="1:15" ht="24.75" customHeight="1" thickBot="1" x14ac:dyDescent="0.25">
      <c r="A44" s="292" t="s">
        <v>18</v>
      </c>
      <c r="B44" s="293"/>
      <c r="C44" s="293"/>
      <c r="D44" s="293"/>
      <c r="E44" s="293"/>
      <c r="F44" s="294" t="s">
        <v>19</v>
      </c>
      <c r="G44" s="295"/>
      <c r="H44" s="343" t="s">
        <v>69</v>
      </c>
      <c r="I44" s="344"/>
      <c r="J44" s="344"/>
      <c r="K44" s="344"/>
      <c r="L44" s="345"/>
      <c r="O44" s="32"/>
    </row>
    <row r="45" spans="1:15" ht="115.5" customHeight="1" thickBot="1" x14ac:dyDescent="0.25">
      <c r="A45" s="391" t="s">
        <v>296</v>
      </c>
      <c r="B45" s="392"/>
      <c r="C45" s="392"/>
      <c r="D45" s="392"/>
      <c r="E45" s="392"/>
      <c r="F45" s="393" t="s">
        <v>290</v>
      </c>
      <c r="G45" s="394"/>
      <c r="H45" s="395" t="s">
        <v>291</v>
      </c>
      <c r="I45" s="392"/>
      <c r="J45" s="392"/>
      <c r="K45" s="392"/>
      <c r="L45" s="396"/>
    </row>
    <row r="46" spans="1:15" ht="115.5" customHeight="1" thickBot="1" x14ac:dyDescent="0.25">
      <c r="A46" s="387"/>
      <c r="B46" s="373"/>
      <c r="C46" s="373"/>
      <c r="D46" s="373"/>
      <c r="E46" s="373"/>
      <c r="F46" s="374"/>
      <c r="G46" s="375"/>
      <c r="H46" s="388"/>
      <c r="I46" s="389"/>
      <c r="J46" s="389"/>
      <c r="K46" s="389"/>
      <c r="L46" s="390"/>
    </row>
    <row r="47" spans="1:15" ht="115.5" customHeight="1" thickBot="1" x14ac:dyDescent="0.25">
      <c r="A47" s="369"/>
      <c r="B47" s="304"/>
      <c r="C47" s="304"/>
      <c r="D47" s="304"/>
      <c r="E47" s="304"/>
      <c r="F47" s="305"/>
      <c r="G47" s="306"/>
      <c r="H47" s="370"/>
      <c r="I47" s="310"/>
      <c r="J47" s="310"/>
      <c r="K47" s="310"/>
      <c r="L47" s="311"/>
    </row>
    <row r="49" spans="1:15" ht="24.75" customHeight="1" thickBot="1" x14ac:dyDescent="0.25">
      <c r="A49" s="50" t="s">
        <v>64</v>
      </c>
      <c r="O49" s="32"/>
    </row>
    <row r="50" spans="1:15" ht="24.75" customHeight="1" thickBot="1" x14ac:dyDescent="0.25">
      <c r="A50" s="352" t="s">
        <v>18</v>
      </c>
      <c r="B50" s="346"/>
      <c r="C50" s="346"/>
      <c r="D50" s="346"/>
      <c r="E50" s="346"/>
      <c r="F50" s="381" t="s">
        <v>65</v>
      </c>
      <c r="G50" s="382"/>
      <c r="H50" s="383" t="s">
        <v>66</v>
      </c>
      <c r="I50" s="384"/>
      <c r="J50" s="381" t="s">
        <v>67</v>
      </c>
      <c r="K50" s="385"/>
      <c r="L50" s="385"/>
      <c r="M50" s="385"/>
      <c r="N50" s="386"/>
      <c r="O50" s="32"/>
    </row>
    <row r="51" spans="1:15" ht="66.75" customHeight="1" thickBot="1" x14ac:dyDescent="0.25">
      <c r="A51" s="405" t="s">
        <v>295</v>
      </c>
      <c r="B51" s="406"/>
      <c r="C51" s="406"/>
      <c r="D51" s="406"/>
      <c r="E51" s="406"/>
      <c r="F51" s="407" t="s">
        <v>165</v>
      </c>
      <c r="G51" s="408"/>
      <c r="H51" s="409" t="s">
        <v>294</v>
      </c>
      <c r="I51" s="410"/>
      <c r="J51" s="411" t="s">
        <v>289</v>
      </c>
      <c r="K51" s="412"/>
      <c r="L51" s="412"/>
      <c r="M51" s="412"/>
      <c r="N51" s="413"/>
    </row>
    <row r="52" spans="1:15" ht="13.5" thickBot="1" x14ac:dyDescent="0.25">
      <c r="A52" s="372"/>
      <c r="B52" s="373"/>
      <c r="C52" s="373"/>
      <c r="D52" s="373"/>
      <c r="E52" s="373"/>
      <c r="F52" s="374"/>
      <c r="G52" s="375"/>
      <c r="H52" s="376"/>
      <c r="I52" s="377"/>
      <c r="J52" s="378"/>
      <c r="K52" s="379"/>
      <c r="L52" s="379"/>
      <c r="M52" s="379"/>
      <c r="N52" s="380"/>
    </row>
    <row r="53" spans="1:15" ht="13.5" thickBot="1" x14ac:dyDescent="0.25">
      <c r="A53" s="50" t="s">
        <v>68</v>
      </c>
    </row>
    <row r="54" spans="1:15" ht="13.5" thickBot="1" x14ac:dyDescent="0.25">
      <c r="A54" s="292" t="s">
        <v>18</v>
      </c>
      <c r="B54" s="293"/>
      <c r="C54" s="293"/>
      <c r="D54" s="293"/>
      <c r="E54" s="293"/>
      <c r="F54" s="294" t="s">
        <v>19</v>
      </c>
      <c r="G54" s="295"/>
      <c r="H54" s="294" t="s">
        <v>20</v>
      </c>
      <c r="I54" s="293"/>
      <c r="J54" s="293"/>
      <c r="K54" s="293"/>
      <c r="L54" s="326"/>
    </row>
    <row r="55" spans="1:15" ht="13.5" customHeight="1" thickBot="1" x14ac:dyDescent="0.25">
      <c r="A55" s="312"/>
      <c r="B55" s="313"/>
      <c r="C55" s="313"/>
      <c r="D55" s="313"/>
      <c r="E55" s="313"/>
      <c r="F55" s="314"/>
      <c r="G55" s="315"/>
      <c r="H55" s="367"/>
      <c r="I55" s="317"/>
      <c r="J55" s="317"/>
      <c r="K55" s="317"/>
      <c r="L55" s="318"/>
    </row>
    <row r="56" spans="1:15" ht="32.25" customHeight="1" thickBot="1" x14ac:dyDescent="0.25">
      <c r="A56" s="312"/>
      <c r="B56" s="313"/>
      <c r="C56" s="313"/>
      <c r="D56" s="313"/>
      <c r="E56" s="313"/>
      <c r="F56" s="314"/>
      <c r="G56" s="315"/>
      <c r="H56" s="316"/>
      <c r="I56" s="317"/>
      <c r="J56" s="317"/>
      <c r="K56" s="317"/>
      <c r="L56" s="318"/>
    </row>
    <row r="57" spans="1:15" x14ac:dyDescent="0.2">
      <c r="A57" s="312"/>
      <c r="B57" s="313"/>
      <c r="C57" s="313"/>
      <c r="D57" s="313"/>
      <c r="E57" s="313"/>
      <c r="F57" s="314"/>
      <c r="G57" s="315"/>
      <c r="H57" s="316"/>
      <c r="I57" s="317"/>
      <c r="J57" s="317"/>
      <c r="K57" s="317"/>
      <c r="L57" s="318"/>
    </row>
  </sheetData>
  <mergeCells count="89">
    <mergeCell ref="A51:E51"/>
    <mergeCell ref="F51:G51"/>
    <mergeCell ref="H51:I51"/>
    <mergeCell ref="J51:N51"/>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B16:F16"/>
    <mergeCell ref="G16:K16"/>
    <mergeCell ref="B17:F17"/>
    <mergeCell ref="G17:K17"/>
    <mergeCell ref="B18:F18"/>
    <mergeCell ref="G18:K18"/>
    <mergeCell ref="B21:F21"/>
    <mergeCell ref="G21:K21"/>
    <mergeCell ref="B20:F20"/>
    <mergeCell ref="G20:K20"/>
    <mergeCell ref="A25:E25"/>
    <mergeCell ref="F25:J25"/>
    <mergeCell ref="A26:E26"/>
    <mergeCell ref="F26:J26"/>
    <mergeCell ref="A27:E27"/>
    <mergeCell ref="F27:J27"/>
    <mergeCell ref="A30:E30"/>
    <mergeCell ref="F30:J30"/>
    <mergeCell ref="A32:E32"/>
    <mergeCell ref="F32:J32"/>
    <mergeCell ref="A33:E33"/>
    <mergeCell ref="F33:J33"/>
    <mergeCell ref="A31:E31"/>
    <mergeCell ref="F31:J31"/>
    <mergeCell ref="A34:E34"/>
    <mergeCell ref="F34:J34"/>
    <mergeCell ref="A35:E35"/>
    <mergeCell ref="F35:J35"/>
    <mergeCell ref="A38:E38"/>
    <mergeCell ref="F38:G38"/>
    <mergeCell ref="H38:L38"/>
    <mergeCell ref="A39:E39"/>
    <mergeCell ref="F39:G39"/>
    <mergeCell ref="H39:L39"/>
    <mergeCell ref="A46:E46"/>
    <mergeCell ref="F46:G46"/>
    <mergeCell ref="H46:L46"/>
    <mergeCell ref="A45:E45"/>
    <mergeCell ref="F45:G45"/>
    <mergeCell ref="H45:L45"/>
    <mergeCell ref="A40:E40"/>
    <mergeCell ref="F40:G40"/>
    <mergeCell ref="H40:L40"/>
    <mergeCell ref="A44:E44"/>
    <mergeCell ref="F44:G44"/>
    <mergeCell ref="H44:L44"/>
    <mergeCell ref="A47:E47"/>
    <mergeCell ref="F47:G47"/>
    <mergeCell ref="H47:L47"/>
    <mergeCell ref="A50:E50"/>
    <mergeCell ref="F50:G50"/>
    <mergeCell ref="H50:I50"/>
    <mergeCell ref="J50:N50"/>
    <mergeCell ref="A52:E52"/>
    <mergeCell ref="F52:G52"/>
    <mergeCell ref="H52:I52"/>
    <mergeCell ref="J52:N52"/>
    <mergeCell ref="A54:E54"/>
    <mergeCell ref="F54:G54"/>
    <mergeCell ref="H54:L54"/>
    <mergeCell ref="A57:E57"/>
    <mergeCell ref="F57:G57"/>
    <mergeCell ref="H57:L57"/>
    <mergeCell ref="A55:E55"/>
    <mergeCell ref="F55:G55"/>
    <mergeCell ref="H55:L55"/>
    <mergeCell ref="A56:E56"/>
    <mergeCell ref="F56:G56"/>
    <mergeCell ref="H56:L56"/>
  </mergeCells>
  <pageMargins left="0.74803149606299213" right="0.74803149606299213" top="0.98425196850393704" bottom="0.98425196850393704" header="0.51181102362204722" footer="0.51181102362204722"/>
  <pageSetup scale="56" fitToHeight="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topLeftCell="A25" zoomScale="80" zoomScaleNormal="80" zoomScalePageLayoutView="90" workbookViewId="0">
      <selection activeCell="B19" sqref="B19:F19"/>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19" t="str">
        <f>Metrics!B4</f>
        <v>Q416</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352" t="s">
        <v>11</v>
      </c>
      <c r="C8" s="346"/>
      <c r="D8" s="346"/>
      <c r="E8" s="346"/>
      <c r="F8" s="347"/>
      <c r="G8" s="346" t="s">
        <v>12</v>
      </c>
      <c r="H8" s="346"/>
      <c r="I8" s="346"/>
      <c r="J8" s="346"/>
      <c r="K8" s="347"/>
    </row>
    <row r="9" spans="1:14" ht="122.25" customHeight="1" x14ac:dyDescent="0.2">
      <c r="A9" s="64" t="s">
        <v>58</v>
      </c>
      <c r="B9" s="348" t="s">
        <v>314</v>
      </c>
      <c r="C9" s="349"/>
      <c r="D9" s="349"/>
      <c r="E9" s="349"/>
      <c r="F9" s="349"/>
      <c r="G9" s="350"/>
      <c r="H9" s="350"/>
      <c r="I9" s="350"/>
      <c r="J9" s="350"/>
      <c r="K9" s="351"/>
      <c r="N9" s="163"/>
    </row>
    <row r="10" spans="1:14" ht="217.5" customHeight="1" x14ac:dyDescent="0.2">
      <c r="A10" s="65" t="s">
        <v>52</v>
      </c>
      <c r="B10" s="333" t="s">
        <v>190</v>
      </c>
      <c r="C10" s="334"/>
      <c r="D10" s="334"/>
      <c r="E10" s="334"/>
      <c r="F10" s="334"/>
      <c r="G10" s="337"/>
      <c r="H10" s="337"/>
      <c r="I10" s="337"/>
      <c r="J10" s="337"/>
      <c r="K10" s="338"/>
    </row>
    <row r="11" spans="1:14" ht="143.25" customHeight="1" x14ac:dyDescent="0.2">
      <c r="A11" s="65" t="s">
        <v>48</v>
      </c>
      <c r="B11" s="333" t="s">
        <v>309</v>
      </c>
      <c r="C11" s="334"/>
      <c r="D11" s="334"/>
      <c r="E11" s="334"/>
      <c r="F11" s="334"/>
      <c r="G11" s="337" t="s">
        <v>310</v>
      </c>
      <c r="H11" s="337"/>
      <c r="I11" s="337"/>
      <c r="J11" s="337"/>
      <c r="K11" s="338"/>
    </row>
    <row r="12" spans="1:14" ht="241.5" customHeight="1" x14ac:dyDescent="0.2">
      <c r="A12" s="65" t="s">
        <v>60</v>
      </c>
      <c r="B12" s="333" t="s">
        <v>313</v>
      </c>
      <c r="C12" s="334"/>
      <c r="D12" s="334"/>
      <c r="E12" s="334"/>
      <c r="F12" s="334"/>
      <c r="G12" s="337"/>
      <c r="H12" s="337"/>
      <c r="I12" s="337"/>
      <c r="J12" s="337"/>
      <c r="K12" s="338"/>
    </row>
    <row r="13" spans="1:14" ht="243.75" customHeight="1" x14ac:dyDescent="0.2">
      <c r="A13" s="65" t="s">
        <v>59</v>
      </c>
      <c r="B13" s="333" t="s">
        <v>312</v>
      </c>
      <c r="C13" s="334"/>
      <c r="D13" s="334"/>
      <c r="E13" s="334"/>
      <c r="F13" s="334"/>
      <c r="G13" s="334"/>
      <c r="H13" s="334"/>
      <c r="I13" s="334"/>
      <c r="J13" s="334"/>
      <c r="K13" s="339"/>
    </row>
    <row r="14" spans="1:14" ht="129.75" customHeight="1" x14ac:dyDescent="0.2">
      <c r="A14" s="65" t="s">
        <v>74</v>
      </c>
      <c r="B14" s="333"/>
      <c r="C14" s="334"/>
      <c r="D14" s="334"/>
      <c r="E14" s="334"/>
      <c r="F14" s="334"/>
      <c r="G14" s="334"/>
      <c r="H14" s="334"/>
      <c r="I14" s="334"/>
      <c r="J14" s="334"/>
      <c r="K14" s="339"/>
    </row>
    <row r="15" spans="1:14" ht="134.25" customHeight="1" x14ac:dyDescent="0.2">
      <c r="A15" s="66" t="s">
        <v>70</v>
      </c>
      <c r="B15" s="333" t="s">
        <v>320</v>
      </c>
      <c r="C15" s="334"/>
      <c r="D15" s="334"/>
      <c r="E15" s="334"/>
      <c r="F15" s="334"/>
      <c r="G15" s="334"/>
      <c r="H15" s="334"/>
      <c r="I15" s="334"/>
      <c r="J15" s="334"/>
      <c r="K15" s="339"/>
    </row>
    <row r="16" spans="1:14" ht="212.25" customHeight="1" x14ac:dyDescent="0.2">
      <c r="A16" s="65" t="s">
        <v>1</v>
      </c>
      <c r="B16" s="333" t="s">
        <v>315</v>
      </c>
      <c r="C16" s="334"/>
      <c r="D16" s="334"/>
      <c r="E16" s="334"/>
      <c r="F16" s="334"/>
      <c r="G16" s="334"/>
      <c r="H16" s="334"/>
      <c r="I16" s="334"/>
      <c r="J16" s="334"/>
      <c r="K16" s="339"/>
    </row>
    <row r="17" spans="1:11" ht="158.25" customHeight="1" x14ac:dyDescent="0.2">
      <c r="A17" s="65" t="s">
        <v>51</v>
      </c>
      <c r="B17" s="333" t="s">
        <v>307</v>
      </c>
      <c r="C17" s="334"/>
      <c r="D17" s="334"/>
      <c r="E17" s="334"/>
      <c r="F17" s="334"/>
      <c r="G17" s="334" t="s">
        <v>308</v>
      </c>
      <c r="H17" s="334"/>
      <c r="I17" s="334"/>
      <c r="J17" s="334"/>
      <c r="K17" s="339"/>
    </row>
    <row r="18" spans="1:11" ht="146.25" customHeight="1" thickBot="1" x14ac:dyDescent="0.25">
      <c r="A18" s="67" t="s">
        <v>110</v>
      </c>
      <c r="B18" s="363" t="s">
        <v>311</v>
      </c>
      <c r="C18" s="361"/>
      <c r="D18" s="361"/>
      <c r="E18" s="361"/>
      <c r="F18" s="364"/>
      <c r="G18" s="360"/>
      <c r="H18" s="361"/>
      <c r="I18" s="361"/>
      <c r="J18" s="361"/>
      <c r="K18" s="362"/>
    </row>
    <row r="19" spans="1:11" ht="146.25" customHeight="1" thickBot="1" x14ac:dyDescent="0.25">
      <c r="A19" s="67" t="s">
        <v>111</v>
      </c>
      <c r="B19" s="414" t="s">
        <v>316</v>
      </c>
      <c r="C19" s="415"/>
      <c r="D19" s="415"/>
      <c r="E19" s="415"/>
      <c r="F19" s="416"/>
      <c r="G19" s="232"/>
      <c r="H19" s="233"/>
      <c r="I19" s="233"/>
      <c r="J19" s="233"/>
      <c r="K19" s="234"/>
    </row>
    <row r="20" spans="1:11" ht="146.25" customHeight="1" thickBot="1" x14ac:dyDescent="0.25">
      <c r="A20" s="67" t="s">
        <v>273</v>
      </c>
      <c r="B20" s="400"/>
      <c r="C20" s="401"/>
      <c r="D20" s="401"/>
      <c r="E20" s="401"/>
      <c r="F20" s="402"/>
      <c r="G20" s="403"/>
      <c r="H20" s="401"/>
      <c r="I20" s="401"/>
      <c r="J20" s="401"/>
      <c r="K20" s="404"/>
    </row>
    <row r="21" spans="1:11" ht="143.25" customHeight="1" thickBot="1" x14ac:dyDescent="0.25">
      <c r="A21" s="67" t="s">
        <v>274</v>
      </c>
      <c r="B21" s="363" t="s">
        <v>321</v>
      </c>
      <c r="C21" s="361"/>
      <c r="D21" s="361"/>
      <c r="E21" s="361"/>
      <c r="F21" s="364"/>
      <c r="G21" s="360" t="s">
        <v>322</v>
      </c>
      <c r="H21" s="361"/>
      <c r="I21" s="361"/>
      <c r="J21" s="361"/>
      <c r="K21" s="362"/>
    </row>
    <row r="22" spans="1:11" x14ac:dyDescent="0.2">
      <c r="A22" s="30" t="s">
        <v>15</v>
      </c>
      <c r="B22" s="30"/>
      <c r="C22" s="30"/>
      <c r="D22" s="30"/>
      <c r="E22" s="30"/>
      <c r="F22" s="30"/>
      <c r="G22" s="30"/>
      <c r="H22" s="30"/>
      <c r="I22" s="30"/>
      <c r="J22" s="30"/>
      <c r="K22" s="30"/>
    </row>
    <row r="23" spans="1:11" x14ac:dyDescent="0.2">
      <c r="A23" s="30"/>
      <c r="B23" s="30"/>
      <c r="C23" s="30"/>
      <c r="D23" s="30"/>
      <c r="E23" s="30"/>
      <c r="F23" s="30"/>
      <c r="G23" s="30"/>
      <c r="H23" s="30"/>
      <c r="I23" s="30"/>
      <c r="J23" s="30"/>
      <c r="K23" s="30"/>
    </row>
    <row r="24" spans="1:11" ht="13.5" thickBot="1" x14ac:dyDescent="0.25">
      <c r="A24" s="1" t="s">
        <v>13</v>
      </c>
    </row>
    <row r="25" spans="1:11" ht="13.5" thickBot="1" x14ac:dyDescent="0.25">
      <c r="A25" s="292" t="s">
        <v>14</v>
      </c>
      <c r="B25" s="293"/>
      <c r="C25" s="293"/>
      <c r="D25" s="293"/>
      <c r="E25" s="293"/>
      <c r="F25" s="293" t="s">
        <v>16</v>
      </c>
      <c r="G25" s="293"/>
      <c r="H25" s="293"/>
      <c r="I25" s="293"/>
      <c r="J25" s="326"/>
    </row>
    <row r="26" spans="1:11" ht="81" customHeight="1" thickBot="1" x14ac:dyDescent="0.25">
      <c r="A26" s="319" t="s">
        <v>135</v>
      </c>
      <c r="B26" s="357"/>
      <c r="C26" s="357"/>
      <c r="D26" s="357"/>
      <c r="E26" s="359"/>
      <c r="F26" s="307" t="s">
        <v>136</v>
      </c>
      <c r="G26" s="357"/>
      <c r="H26" s="357"/>
      <c r="I26" s="357"/>
      <c r="J26" s="358"/>
    </row>
    <row r="27" spans="1:11" ht="13.5" thickBot="1" x14ac:dyDescent="0.25">
      <c r="A27" s="355"/>
      <c r="B27" s="331"/>
      <c r="C27" s="331"/>
      <c r="D27" s="331"/>
      <c r="E27" s="356"/>
      <c r="F27" s="353"/>
      <c r="G27" s="353"/>
      <c r="H27" s="353"/>
      <c r="I27" s="353"/>
      <c r="J27" s="354"/>
    </row>
    <row r="29" spans="1:11" ht="13.5" thickBot="1" x14ac:dyDescent="0.25">
      <c r="A29" s="1" t="s">
        <v>43</v>
      </c>
    </row>
    <row r="30" spans="1:11" ht="13.5" thickBot="1" x14ac:dyDescent="0.25">
      <c r="A30" s="292" t="s">
        <v>14</v>
      </c>
      <c r="B30" s="293"/>
      <c r="C30" s="293"/>
      <c r="D30" s="293"/>
      <c r="E30" s="293"/>
      <c r="F30" s="293" t="s">
        <v>16</v>
      </c>
      <c r="G30" s="293"/>
      <c r="H30" s="293"/>
      <c r="I30" s="293"/>
      <c r="J30" s="326"/>
    </row>
    <row r="31" spans="1:11" ht="57" customHeight="1" thickBot="1" x14ac:dyDescent="0.25">
      <c r="A31" s="397" t="s">
        <v>292</v>
      </c>
      <c r="B31" s="398"/>
      <c r="C31" s="398"/>
      <c r="D31" s="398"/>
      <c r="E31" s="398"/>
      <c r="F31" s="398" t="s">
        <v>293</v>
      </c>
      <c r="G31" s="398"/>
      <c r="H31" s="398"/>
      <c r="I31" s="398"/>
      <c r="J31" s="399"/>
    </row>
    <row r="32" spans="1:11" ht="86.25" customHeight="1" thickBot="1" x14ac:dyDescent="0.25">
      <c r="A32" s="312" t="s">
        <v>157</v>
      </c>
      <c r="B32" s="313"/>
      <c r="C32" s="313"/>
      <c r="D32" s="313"/>
      <c r="E32" s="313"/>
      <c r="F32" s="316" t="s">
        <v>142</v>
      </c>
      <c r="G32" s="365"/>
      <c r="H32" s="365"/>
      <c r="I32" s="365"/>
      <c r="J32" s="366"/>
    </row>
    <row r="33" spans="1:15" ht="93" customHeight="1" thickBot="1" x14ac:dyDescent="0.25">
      <c r="A33" s="312" t="s">
        <v>144</v>
      </c>
      <c r="B33" s="313"/>
      <c r="C33" s="313"/>
      <c r="D33" s="313"/>
      <c r="E33" s="313"/>
      <c r="F33" s="316" t="s">
        <v>195</v>
      </c>
      <c r="G33" s="365"/>
      <c r="H33" s="365"/>
      <c r="I33" s="365"/>
      <c r="J33" s="366"/>
    </row>
    <row r="34" spans="1:15" ht="135" customHeight="1" thickBot="1" x14ac:dyDescent="0.25">
      <c r="A34" s="312" t="s">
        <v>141</v>
      </c>
      <c r="B34" s="313"/>
      <c r="C34" s="313"/>
      <c r="D34" s="313"/>
      <c r="E34" s="313"/>
      <c r="F34" s="316" t="s">
        <v>143</v>
      </c>
      <c r="G34" s="365"/>
      <c r="H34" s="365"/>
      <c r="I34" s="365"/>
      <c r="J34" s="366"/>
    </row>
    <row r="35" spans="1:15" ht="166.5" customHeight="1" thickBot="1" x14ac:dyDescent="0.25">
      <c r="A35" s="319" t="s">
        <v>286</v>
      </c>
      <c r="B35" s="357"/>
      <c r="C35" s="357"/>
      <c r="D35" s="357"/>
      <c r="E35" s="359"/>
      <c r="F35" s="307" t="s">
        <v>287</v>
      </c>
      <c r="G35" s="357"/>
      <c r="H35" s="357"/>
      <c r="I35" s="357"/>
      <c r="J35" s="358"/>
    </row>
    <row r="37" spans="1:15" ht="13.5" thickBot="1" x14ac:dyDescent="0.25">
      <c r="A37" s="1" t="s">
        <v>17</v>
      </c>
    </row>
    <row r="38" spans="1:15" ht="13.5" thickBot="1" x14ac:dyDescent="0.25">
      <c r="A38" s="292" t="s">
        <v>18</v>
      </c>
      <c r="B38" s="293"/>
      <c r="C38" s="293"/>
      <c r="D38" s="293"/>
      <c r="E38" s="293"/>
      <c r="F38" s="294" t="s">
        <v>19</v>
      </c>
      <c r="G38" s="295"/>
      <c r="H38" s="294" t="s">
        <v>20</v>
      </c>
      <c r="I38" s="293"/>
      <c r="J38" s="293"/>
      <c r="K38" s="293"/>
      <c r="L38" s="326"/>
    </row>
    <row r="39" spans="1:15" ht="42.75" customHeight="1" thickBot="1" x14ac:dyDescent="0.25">
      <c r="A39" s="303" t="s">
        <v>296</v>
      </c>
      <c r="B39" s="304"/>
      <c r="C39" s="304"/>
      <c r="D39" s="304"/>
      <c r="E39" s="304"/>
      <c r="F39" s="371" t="s">
        <v>290</v>
      </c>
      <c r="G39" s="306"/>
      <c r="H39" s="307" t="s">
        <v>291</v>
      </c>
      <c r="I39" s="310"/>
      <c r="J39" s="310"/>
      <c r="K39" s="310"/>
      <c r="L39" s="311"/>
    </row>
    <row r="40" spans="1:15" ht="42.75" customHeight="1" thickBot="1" x14ac:dyDescent="0.25">
      <c r="A40" s="303"/>
      <c r="B40" s="304"/>
      <c r="C40" s="304"/>
      <c r="D40" s="304"/>
      <c r="E40" s="304"/>
      <c r="F40" s="305"/>
      <c r="G40" s="306"/>
      <c r="H40" s="307"/>
      <c r="I40" s="308"/>
      <c r="J40" s="308"/>
      <c r="K40" s="308"/>
      <c r="L40" s="309"/>
    </row>
    <row r="41" spans="1:15" ht="12" customHeight="1" thickBot="1" x14ac:dyDescent="0.25">
      <c r="A41" s="58"/>
      <c r="B41" s="227"/>
      <c r="C41" s="227"/>
      <c r="D41" s="227"/>
      <c r="E41" s="228"/>
      <c r="F41" s="229"/>
      <c r="G41" s="230"/>
      <c r="H41" s="55"/>
      <c r="I41" s="231"/>
      <c r="J41" s="231"/>
      <c r="K41" s="231"/>
      <c r="L41" s="235"/>
    </row>
    <row r="42" spans="1:15" ht="24.75" customHeight="1" x14ac:dyDescent="0.2">
      <c r="O42" s="32"/>
    </row>
    <row r="43" spans="1:15" ht="24.75" customHeight="1" thickBot="1" x14ac:dyDescent="0.25">
      <c r="A43" s="1" t="s">
        <v>21</v>
      </c>
      <c r="O43" s="32"/>
    </row>
    <row r="44" spans="1:15" ht="24.75" customHeight="1" thickBot="1" x14ac:dyDescent="0.25">
      <c r="A44" s="292" t="s">
        <v>18</v>
      </c>
      <c r="B44" s="293"/>
      <c r="C44" s="293"/>
      <c r="D44" s="293"/>
      <c r="E44" s="293"/>
      <c r="F44" s="294" t="s">
        <v>19</v>
      </c>
      <c r="G44" s="295"/>
      <c r="H44" s="343" t="s">
        <v>69</v>
      </c>
      <c r="I44" s="344"/>
      <c r="J44" s="344"/>
      <c r="K44" s="344"/>
      <c r="L44" s="345"/>
      <c r="O44" s="32"/>
    </row>
    <row r="45" spans="1:15" ht="115.5" customHeight="1" thickBot="1" x14ac:dyDescent="0.25">
      <c r="A45" s="391"/>
      <c r="B45" s="392"/>
      <c r="C45" s="392"/>
      <c r="D45" s="392"/>
      <c r="E45" s="392"/>
      <c r="F45" s="393"/>
      <c r="G45" s="394"/>
      <c r="H45" s="395"/>
      <c r="I45" s="392"/>
      <c r="J45" s="392"/>
      <c r="K45" s="392"/>
      <c r="L45" s="396"/>
    </row>
    <row r="46" spans="1:15" ht="115.5" customHeight="1" thickBot="1" x14ac:dyDescent="0.25">
      <c r="A46" s="387"/>
      <c r="B46" s="373"/>
      <c r="C46" s="373"/>
      <c r="D46" s="373"/>
      <c r="E46" s="373"/>
      <c r="F46" s="374"/>
      <c r="G46" s="375"/>
      <c r="H46" s="388"/>
      <c r="I46" s="389"/>
      <c r="J46" s="389"/>
      <c r="K46" s="389"/>
      <c r="L46" s="390"/>
    </row>
    <row r="47" spans="1:15" ht="115.5" customHeight="1" thickBot="1" x14ac:dyDescent="0.25">
      <c r="A47" s="369"/>
      <c r="B47" s="304"/>
      <c r="C47" s="304"/>
      <c r="D47" s="304"/>
      <c r="E47" s="304"/>
      <c r="F47" s="305"/>
      <c r="G47" s="306"/>
      <c r="H47" s="370"/>
      <c r="I47" s="310"/>
      <c r="J47" s="310"/>
      <c r="K47" s="310"/>
      <c r="L47" s="311"/>
    </row>
    <row r="49" spans="1:15" ht="24.75" customHeight="1" thickBot="1" x14ac:dyDescent="0.25">
      <c r="A49" s="50" t="s">
        <v>64</v>
      </c>
      <c r="O49" s="32"/>
    </row>
    <row r="50" spans="1:15" ht="24.75" customHeight="1" thickBot="1" x14ac:dyDescent="0.25">
      <c r="A50" s="352" t="s">
        <v>18</v>
      </c>
      <c r="B50" s="346"/>
      <c r="C50" s="346"/>
      <c r="D50" s="346"/>
      <c r="E50" s="346"/>
      <c r="F50" s="381" t="s">
        <v>65</v>
      </c>
      <c r="G50" s="382"/>
      <c r="H50" s="383" t="s">
        <v>66</v>
      </c>
      <c r="I50" s="384"/>
      <c r="J50" s="381" t="s">
        <v>67</v>
      </c>
      <c r="K50" s="385"/>
      <c r="L50" s="385"/>
      <c r="M50" s="385"/>
      <c r="N50" s="386"/>
      <c r="O50" s="32"/>
    </row>
    <row r="51" spans="1:15" ht="66.75" customHeight="1" thickBot="1" x14ac:dyDescent="0.25">
      <c r="A51" s="405" t="s">
        <v>295</v>
      </c>
      <c r="B51" s="406"/>
      <c r="C51" s="406"/>
      <c r="D51" s="406"/>
      <c r="E51" s="406"/>
      <c r="F51" s="407" t="s">
        <v>165</v>
      </c>
      <c r="G51" s="408"/>
      <c r="H51" s="409" t="s">
        <v>294</v>
      </c>
      <c r="I51" s="410"/>
      <c r="J51" s="411" t="s">
        <v>289</v>
      </c>
      <c r="K51" s="412"/>
      <c r="L51" s="412"/>
      <c r="M51" s="412"/>
      <c r="N51" s="413"/>
    </row>
    <row r="52" spans="1:15" ht="13.5" thickBot="1" x14ac:dyDescent="0.25">
      <c r="A52" s="372"/>
      <c r="B52" s="373"/>
      <c r="C52" s="373"/>
      <c r="D52" s="373"/>
      <c r="E52" s="373"/>
      <c r="F52" s="374"/>
      <c r="G52" s="375"/>
      <c r="H52" s="376"/>
      <c r="I52" s="377"/>
      <c r="J52" s="378"/>
      <c r="K52" s="379"/>
      <c r="L52" s="379"/>
      <c r="M52" s="379"/>
      <c r="N52" s="380"/>
    </row>
    <row r="53" spans="1:15" ht="13.5" thickBot="1" x14ac:dyDescent="0.25">
      <c r="A53" s="50" t="s">
        <v>68</v>
      </c>
    </row>
    <row r="54" spans="1:15" ht="13.5" thickBot="1" x14ac:dyDescent="0.25">
      <c r="A54" s="292" t="s">
        <v>18</v>
      </c>
      <c r="B54" s="293"/>
      <c r="C54" s="293"/>
      <c r="D54" s="293"/>
      <c r="E54" s="293"/>
      <c r="F54" s="294" t="s">
        <v>19</v>
      </c>
      <c r="G54" s="295"/>
      <c r="H54" s="294" t="s">
        <v>20</v>
      </c>
      <c r="I54" s="293"/>
      <c r="J54" s="293"/>
      <c r="K54" s="293"/>
      <c r="L54" s="326"/>
    </row>
    <row r="55" spans="1:15" ht="13.5" customHeight="1" thickBot="1" x14ac:dyDescent="0.25">
      <c r="A55" s="312"/>
      <c r="B55" s="313"/>
      <c r="C55" s="313"/>
      <c r="D55" s="313"/>
      <c r="E55" s="313"/>
      <c r="F55" s="314"/>
      <c r="G55" s="315"/>
      <c r="H55" s="367"/>
      <c r="I55" s="317"/>
      <c r="J55" s="317"/>
      <c r="K55" s="317"/>
      <c r="L55" s="318"/>
    </row>
    <row r="56" spans="1:15" ht="32.25" customHeight="1" thickBot="1" x14ac:dyDescent="0.25">
      <c r="A56" s="312"/>
      <c r="B56" s="313"/>
      <c r="C56" s="313"/>
      <c r="D56" s="313"/>
      <c r="E56" s="313"/>
      <c r="F56" s="314"/>
      <c r="G56" s="315"/>
      <c r="H56" s="316"/>
      <c r="I56" s="317"/>
      <c r="J56" s="317"/>
      <c r="K56" s="317"/>
      <c r="L56" s="318"/>
    </row>
    <row r="57" spans="1:15" x14ac:dyDescent="0.2">
      <c r="A57" s="312"/>
      <c r="B57" s="313"/>
      <c r="C57" s="313"/>
      <c r="D57" s="313"/>
      <c r="E57" s="313"/>
      <c r="F57" s="314"/>
      <c r="G57" s="315"/>
      <c r="H57" s="316"/>
      <c r="I57" s="317"/>
      <c r="J57" s="317"/>
      <c r="K57" s="317"/>
      <c r="L57" s="318"/>
    </row>
  </sheetData>
  <mergeCells count="90">
    <mergeCell ref="A56:E56"/>
    <mergeCell ref="F56:G56"/>
    <mergeCell ref="H56:L56"/>
    <mergeCell ref="A57:E57"/>
    <mergeCell ref="F57:G57"/>
    <mergeCell ref="H57:L57"/>
    <mergeCell ref="A54:E54"/>
    <mergeCell ref="F54:G54"/>
    <mergeCell ref="H54:L54"/>
    <mergeCell ref="A55:E55"/>
    <mergeCell ref="F55:G55"/>
    <mergeCell ref="H55:L55"/>
    <mergeCell ref="A51:E51"/>
    <mergeCell ref="F51:G51"/>
    <mergeCell ref="H51:I51"/>
    <mergeCell ref="J51:N51"/>
    <mergeCell ref="A52:E52"/>
    <mergeCell ref="F52:G52"/>
    <mergeCell ref="H52:I52"/>
    <mergeCell ref="J52:N52"/>
    <mergeCell ref="A47:E47"/>
    <mergeCell ref="F47:G47"/>
    <mergeCell ref="H47:L47"/>
    <mergeCell ref="A50:E50"/>
    <mergeCell ref="F50:G50"/>
    <mergeCell ref="H50:I50"/>
    <mergeCell ref="J50:N50"/>
    <mergeCell ref="A45:E45"/>
    <mergeCell ref="F45:G45"/>
    <mergeCell ref="H45:L45"/>
    <mergeCell ref="A46:E46"/>
    <mergeCell ref="F46:G46"/>
    <mergeCell ref="H46:L46"/>
    <mergeCell ref="A40:E40"/>
    <mergeCell ref="F40:G40"/>
    <mergeCell ref="H40:L40"/>
    <mergeCell ref="A44:E44"/>
    <mergeCell ref="F44:G44"/>
    <mergeCell ref="H44:L44"/>
    <mergeCell ref="A39:E39"/>
    <mergeCell ref="F39:G39"/>
    <mergeCell ref="H39:L39"/>
    <mergeCell ref="A32:E32"/>
    <mergeCell ref="F32:J32"/>
    <mergeCell ref="A33:E33"/>
    <mergeCell ref="F33:J33"/>
    <mergeCell ref="A34:E34"/>
    <mergeCell ref="F34:J34"/>
    <mergeCell ref="A35:E35"/>
    <mergeCell ref="F35:J35"/>
    <mergeCell ref="A38:E38"/>
    <mergeCell ref="F38:G38"/>
    <mergeCell ref="H38:L38"/>
    <mergeCell ref="A27:E27"/>
    <mergeCell ref="F27:J27"/>
    <mergeCell ref="A30:E30"/>
    <mergeCell ref="F30:J30"/>
    <mergeCell ref="A31:E31"/>
    <mergeCell ref="F31:J31"/>
    <mergeCell ref="B21:F21"/>
    <mergeCell ref="G21:K21"/>
    <mergeCell ref="A25:E25"/>
    <mergeCell ref="F25:J25"/>
    <mergeCell ref="A26:E26"/>
    <mergeCell ref="F26:J26"/>
    <mergeCell ref="B17:F17"/>
    <mergeCell ref="G17:K17"/>
    <mergeCell ref="B18:F18"/>
    <mergeCell ref="G18:K18"/>
    <mergeCell ref="B20:F20"/>
    <mergeCell ref="G20:K20"/>
    <mergeCell ref="B19:F19"/>
    <mergeCell ref="B14:F14"/>
    <mergeCell ref="G14:K14"/>
    <mergeCell ref="B15:F15"/>
    <mergeCell ref="G15:K15"/>
    <mergeCell ref="B16:F16"/>
    <mergeCell ref="G16:K16"/>
    <mergeCell ref="B11:F11"/>
    <mergeCell ref="G11:K11"/>
    <mergeCell ref="B12:F12"/>
    <mergeCell ref="G12:K12"/>
    <mergeCell ref="B13:F13"/>
    <mergeCell ref="G13:K13"/>
    <mergeCell ref="B8:F8"/>
    <mergeCell ref="G8:K8"/>
    <mergeCell ref="B9:F9"/>
    <mergeCell ref="G9:K9"/>
    <mergeCell ref="B10:F10"/>
    <mergeCell ref="G10:K10"/>
  </mergeCells>
  <pageMargins left="0.74803149606299213" right="0.74803149606299213" top="0.98425196850393704" bottom="0.98425196850393704" header="0.51181102362204722" footer="0.51181102362204722"/>
  <pageSetup scale="56" fitToHeight="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topLeftCell="A21" zoomScaleNormal="100" zoomScalePageLayoutView="90" workbookViewId="0">
      <selection activeCell="G21" sqref="G21:K21"/>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19" t="str">
        <f>Metrics!B4</f>
        <v>Q416</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352" t="s">
        <v>11</v>
      </c>
      <c r="C8" s="346"/>
      <c r="D8" s="346"/>
      <c r="E8" s="346"/>
      <c r="F8" s="347"/>
      <c r="G8" s="346" t="s">
        <v>12</v>
      </c>
      <c r="H8" s="346"/>
      <c r="I8" s="346"/>
      <c r="J8" s="346"/>
      <c r="K8" s="347"/>
    </row>
    <row r="9" spans="1:14" ht="122.25" customHeight="1" x14ac:dyDescent="0.2">
      <c r="A9" s="64" t="s">
        <v>58</v>
      </c>
      <c r="B9" s="348"/>
      <c r="C9" s="349"/>
      <c r="D9" s="349"/>
      <c r="E9" s="349"/>
      <c r="F9" s="349"/>
      <c r="G9" s="350"/>
      <c r="H9" s="350"/>
      <c r="I9" s="350"/>
      <c r="J9" s="350"/>
      <c r="K9" s="351"/>
      <c r="N9" s="163"/>
    </row>
    <row r="10" spans="1:14" ht="217.5" customHeight="1" x14ac:dyDescent="0.2">
      <c r="A10" s="65" t="s">
        <v>52</v>
      </c>
      <c r="B10" s="333" t="s">
        <v>353</v>
      </c>
      <c r="C10" s="334"/>
      <c r="D10" s="334"/>
      <c r="E10" s="334"/>
      <c r="F10" s="334"/>
      <c r="G10" s="337" t="s">
        <v>352</v>
      </c>
      <c r="H10" s="337"/>
      <c r="I10" s="337"/>
      <c r="J10" s="337"/>
      <c r="K10" s="338"/>
    </row>
    <row r="11" spans="1:14" ht="143.25" customHeight="1" x14ac:dyDescent="0.2">
      <c r="A11" s="65" t="s">
        <v>48</v>
      </c>
      <c r="B11" s="333"/>
      <c r="C11" s="334"/>
      <c r="D11" s="334"/>
      <c r="E11" s="334"/>
      <c r="F11" s="334"/>
      <c r="G11" s="337"/>
      <c r="H11" s="337"/>
      <c r="I11" s="337"/>
      <c r="J11" s="337"/>
      <c r="K11" s="338"/>
    </row>
    <row r="12" spans="1:14" ht="241.5" customHeight="1" x14ac:dyDescent="0.2">
      <c r="A12" s="65" t="s">
        <v>60</v>
      </c>
      <c r="B12" s="333" t="s">
        <v>351</v>
      </c>
      <c r="C12" s="334"/>
      <c r="D12" s="334"/>
      <c r="E12" s="334"/>
      <c r="F12" s="334"/>
      <c r="G12" s="337"/>
      <c r="H12" s="337"/>
      <c r="I12" s="337"/>
      <c r="J12" s="337"/>
      <c r="K12" s="338"/>
    </row>
    <row r="13" spans="1:14" ht="243.75" customHeight="1" x14ac:dyDescent="0.2">
      <c r="A13" s="65" t="s">
        <v>59</v>
      </c>
      <c r="B13" s="333" t="s">
        <v>346</v>
      </c>
      <c r="C13" s="334"/>
      <c r="D13" s="334"/>
      <c r="E13" s="334"/>
      <c r="F13" s="334"/>
      <c r="G13" s="334" t="s">
        <v>357</v>
      </c>
      <c r="H13" s="334"/>
      <c r="I13" s="334"/>
      <c r="J13" s="334"/>
      <c r="K13" s="339"/>
    </row>
    <row r="14" spans="1:14" ht="243.75" customHeight="1" x14ac:dyDescent="0.2">
      <c r="A14" s="65" t="s">
        <v>345</v>
      </c>
      <c r="B14" s="417" t="s">
        <v>356</v>
      </c>
      <c r="C14" s="418"/>
      <c r="D14" s="418"/>
      <c r="E14" s="418"/>
      <c r="F14" s="419"/>
      <c r="G14" s="420" t="s">
        <v>347</v>
      </c>
      <c r="H14" s="418"/>
      <c r="I14" s="418"/>
      <c r="J14" s="418"/>
      <c r="K14" s="421"/>
    </row>
    <row r="15" spans="1:14" ht="129.75" customHeight="1" x14ac:dyDescent="0.2">
      <c r="A15" s="65" t="s">
        <v>74</v>
      </c>
      <c r="B15" s="333" t="s">
        <v>354</v>
      </c>
      <c r="C15" s="334"/>
      <c r="D15" s="334"/>
      <c r="E15" s="334"/>
      <c r="F15" s="334"/>
      <c r="G15" s="334"/>
      <c r="H15" s="334"/>
      <c r="I15" s="334"/>
      <c r="J15" s="334"/>
      <c r="K15" s="339"/>
    </row>
    <row r="16" spans="1:14" ht="134.25" customHeight="1" x14ac:dyDescent="0.2">
      <c r="A16" s="66" t="s">
        <v>70</v>
      </c>
      <c r="B16" s="333" t="s">
        <v>355</v>
      </c>
      <c r="C16" s="334"/>
      <c r="D16" s="334"/>
      <c r="E16" s="334"/>
      <c r="F16" s="334"/>
      <c r="G16" s="334" t="s">
        <v>349</v>
      </c>
      <c r="H16" s="334"/>
      <c r="I16" s="334"/>
      <c r="J16" s="334"/>
      <c r="K16" s="339"/>
    </row>
    <row r="17" spans="1:11" ht="212.25" customHeight="1" x14ac:dyDescent="0.2">
      <c r="A17" s="65" t="s">
        <v>1</v>
      </c>
      <c r="B17" s="333"/>
      <c r="C17" s="334"/>
      <c r="D17" s="334"/>
      <c r="E17" s="334"/>
      <c r="F17" s="334"/>
      <c r="G17" s="334"/>
      <c r="H17" s="334"/>
      <c r="I17" s="334"/>
      <c r="J17" s="334"/>
      <c r="K17" s="339"/>
    </row>
    <row r="18" spans="1:11" ht="158.25" customHeight="1" x14ac:dyDescent="0.2">
      <c r="A18" s="65" t="s">
        <v>51</v>
      </c>
      <c r="B18" s="333" t="s">
        <v>350</v>
      </c>
      <c r="C18" s="334"/>
      <c r="D18" s="334"/>
      <c r="E18" s="334"/>
      <c r="F18" s="334"/>
      <c r="G18" s="334"/>
      <c r="H18" s="334"/>
      <c r="I18" s="334"/>
      <c r="J18" s="334"/>
      <c r="K18" s="339"/>
    </row>
    <row r="19" spans="1:11" ht="146.25" customHeight="1" thickBot="1" x14ac:dyDescent="0.25">
      <c r="A19" s="67" t="s">
        <v>110</v>
      </c>
      <c r="B19" s="363" t="s">
        <v>348</v>
      </c>
      <c r="C19" s="361"/>
      <c r="D19" s="361"/>
      <c r="E19" s="361"/>
      <c r="F19" s="364"/>
      <c r="G19" s="360"/>
      <c r="H19" s="361"/>
      <c r="I19" s="361"/>
      <c r="J19" s="361"/>
      <c r="K19" s="362"/>
    </row>
    <row r="20" spans="1:11" ht="146.25" customHeight="1" thickBot="1" x14ac:dyDescent="0.25">
      <c r="A20" s="67" t="s">
        <v>111</v>
      </c>
      <c r="B20" s="414"/>
      <c r="C20" s="415"/>
      <c r="D20" s="415"/>
      <c r="E20" s="415"/>
      <c r="F20" s="416"/>
      <c r="G20" s="252"/>
      <c r="H20" s="253"/>
      <c r="I20" s="253"/>
      <c r="J20" s="253"/>
      <c r="K20" s="254"/>
    </row>
    <row r="21" spans="1:11" ht="146.25" customHeight="1" thickBot="1" x14ac:dyDescent="0.25">
      <c r="A21" s="67" t="s">
        <v>273</v>
      </c>
      <c r="B21" s="400" t="s">
        <v>388</v>
      </c>
      <c r="C21" s="401"/>
      <c r="D21" s="401"/>
      <c r="E21" s="401"/>
      <c r="F21" s="402"/>
      <c r="G21" s="403" t="s">
        <v>389</v>
      </c>
      <c r="H21" s="401"/>
      <c r="I21" s="401"/>
      <c r="J21" s="401"/>
      <c r="K21" s="404"/>
    </row>
    <row r="22" spans="1:11" ht="180" customHeight="1" thickBot="1" x14ac:dyDescent="0.25">
      <c r="A22" s="67" t="s">
        <v>274</v>
      </c>
      <c r="B22" s="363" t="s">
        <v>386</v>
      </c>
      <c r="C22" s="361"/>
      <c r="D22" s="361"/>
      <c r="E22" s="361"/>
      <c r="F22" s="364"/>
      <c r="G22" s="360" t="s">
        <v>384</v>
      </c>
      <c r="H22" s="361"/>
      <c r="I22" s="361"/>
      <c r="J22" s="361"/>
      <c r="K22" s="362"/>
    </row>
    <row r="23" spans="1:11" x14ac:dyDescent="0.2">
      <c r="A23" s="30" t="s">
        <v>15</v>
      </c>
      <c r="B23" s="30"/>
      <c r="C23" s="30"/>
      <c r="D23" s="30"/>
      <c r="E23" s="30"/>
      <c r="F23" s="30"/>
      <c r="G23" s="30"/>
      <c r="H23" s="30"/>
      <c r="I23" s="30"/>
      <c r="J23" s="30"/>
      <c r="K23" s="30"/>
    </row>
    <row r="24" spans="1:11" x14ac:dyDescent="0.2">
      <c r="A24" s="30"/>
      <c r="B24" s="30"/>
      <c r="C24" s="30"/>
      <c r="D24" s="30"/>
      <c r="E24" s="30"/>
      <c r="F24" s="30"/>
      <c r="G24" s="30"/>
      <c r="H24" s="30"/>
      <c r="I24" s="30"/>
      <c r="J24" s="30"/>
      <c r="K24" s="30"/>
    </row>
    <row r="25" spans="1:11" ht="13.5" thickBot="1" x14ac:dyDescent="0.25">
      <c r="A25" s="1" t="s">
        <v>13</v>
      </c>
    </row>
    <row r="26" spans="1:11" ht="13.5" thickBot="1" x14ac:dyDescent="0.25">
      <c r="A26" s="292" t="s">
        <v>14</v>
      </c>
      <c r="B26" s="293"/>
      <c r="C26" s="293"/>
      <c r="D26" s="293"/>
      <c r="E26" s="293"/>
      <c r="F26" s="293" t="s">
        <v>16</v>
      </c>
      <c r="G26" s="293"/>
      <c r="H26" s="293"/>
      <c r="I26" s="293"/>
      <c r="J26" s="326"/>
    </row>
    <row r="27" spans="1:11" ht="81" customHeight="1" thickBot="1" x14ac:dyDescent="0.25">
      <c r="A27" s="319" t="s">
        <v>135</v>
      </c>
      <c r="B27" s="357"/>
      <c r="C27" s="357"/>
      <c r="D27" s="357"/>
      <c r="E27" s="359"/>
      <c r="F27" s="307" t="s">
        <v>136</v>
      </c>
      <c r="G27" s="357"/>
      <c r="H27" s="357"/>
      <c r="I27" s="357"/>
      <c r="J27" s="358"/>
    </row>
    <row r="28" spans="1:11" ht="13.5" thickBot="1" x14ac:dyDescent="0.25">
      <c r="A28" s="355"/>
      <c r="B28" s="331"/>
      <c r="C28" s="331"/>
      <c r="D28" s="331"/>
      <c r="E28" s="356"/>
      <c r="F28" s="353"/>
      <c r="G28" s="353"/>
      <c r="H28" s="353"/>
      <c r="I28" s="353"/>
      <c r="J28" s="354"/>
    </row>
    <row r="30" spans="1:11" ht="13.5" thickBot="1" x14ac:dyDescent="0.25">
      <c r="A30" s="1" t="s">
        <v>43</v>
      </c>
    </row>
    <row r="31" spans="1:11" ht="13.5" thickBot="1" x14ac:dyDescent="0.25">
      <c r="A31" s="292" t="s">
        <v>14</v>
      </c>
      <c r="B31" s="293"/>
      <c r="C31" s="293"/>
      <c r="D31" s="293"/>
      <c r="E31" s="293"/>
      <c r="F31" s="293" t="s">
        <v>16</v>
      </c>
      <c r="G31" s="293"/>
      <c r="H31" s="293"/>
      <c r="I31" s="293"/>
      <c r="J31" s="326"/>
    </row>
    <row r="32" spans="1:11" ht="57" customHeight="1" thickBot="1" x14ac:dyDescent="0.25">
      <c r="A32" s="397" t="s">
        <v>292</v>
      </c>
      <c r="B32" s="398"/>
      <c r="C32" s="398"/>
      <c r="D32" s="398"/>
      <c r="E32" s="398"/>
      <c r="F32" s="398" t="s">
        <v>293</v>
      </c>
      <c r="G32" s="398"/>
      <c r="H32" s="398"/>
      <c r="I32" s="398"/>
      <c r="J32" s="399"/>
    </row>
    <row r="33" spans="1:15" ht="156" customHeight="1" thickBot="1" x14ac:dyDescent="0.25">
      <c r="A33" s="312" t="s">
        <v>157</v>
      </c>
      <c r="B33" s="313"/>
      <c r="C33" s="313"/>
      <c r="D33" s="313"/>
      <c r="E33" s="313"/>
      <c r="F33" s="316" t="s">
        <v>367</v>
      </c>
      <c r="G33" s="365"/>
      <c r="H33" s="365"/>
      <c r="I33" s="365"/>
      <c r="J33" s="366"/>
    </row>
    <row r="34" spans="1:15" ht="93" customHeight="1" thickBot="1" x14ac:dyDescent="0.25">
      <c r="A34" s="312" t="s">
        <v>144</v>
      </c>
      <c r="B34" s="313"/>
      <c r="C34" s="313"/>
      <c r="D34" s="313"/>
      <c r="E34" s="313"/>
      <c r="F34" s="316" t="s">
        <v>195</v>
      </c>
      <c r="G34" s="365"/>
      <c r="H34" s="365"/>
      <c r="I34" s="365"/>
      <c r="J34" s="366"/>
    </row>
    <row r="35" spans="1:15" ht="93" customHeight="1" thickBot="1" x14ac:dyDescent="0.25">
      <c r="A35" s="319" t="s">
        <v>368</v>
      </c>
      <c r="B35" s="308"/>
      <c r="C35" s="308"/>
      <c r="D35" s="308"/>
      <c r="E35" s="423"/>
      <c r="F35" s="424" t="s">
        <v>369</v>
      </c>
      <c r="G35" s="425"/>
      <c r="H35" s="425"/>
      <c r="I35" s="425"/>
      <c r="J35" s="426"/>
    </row>
    <row r="36" spans="1:15" ht="93" customHeight="1" thickBot="1" x14ac:dyDescent="0.25">
      <c r="A36" s="319" t="s">
        <v>372</v>
      </c>
      <c r="B36" s="308"/>
      <c r="C36" s="308"/>
      <c r="D36" s="308"/>
      <c r="E36" s="423"/>
      <c r="F36" s="424" t="s">
        <v>373</v>
      </c>
      <c r="G36" s="425"/>
      <c r="H36" s="425"/>
      <c r="I36" s="425"/>
      <c r="J36" s="426"/>
    </row>
    <row r="37" spans="1:15" ht="93" customHeight="1" thickBot="1" x14ac:dyDescent="0.25">
      <c r="A37" s="319" t="s">
        <v>370</v>
      </c>
      <c r="B37" s="308"/>
      <c r="C37" s="308"/>
      <c r="D37" s="308"/>
      <c r="E37" s="423"/>
      <c r="F37" s="424" t="s">
        <v>371</v>
      </c>
      <c r="G37" s="425"/>
      <c r="H37" s="425"/>
      <c r="I37" s="425"/>
      <c r="J37" s="426"/>
    </row>
    <row r="38" spans="1:15" ht="135" customHeight="1" thickBot="1" x14ac:dyDescent="0.25">
      <c r="A38" s="312" t="s">
        <v>141</v>
      </c>
      <c r="B38" s="313"/>
      <c r="C38" s="313"/>
      <c r="D38" s="313"/>
      <c r="E38" s="313"/>
      <c r="F38" s="316" t="s">
        <v>143</v>
      </c>
      <c r="G38" s="365"/>
      <c r="H38" s="365"/>
      <c r="I38" s="365"/>
      <c r="J38" s="366"/>
    </row>
    <row r="39" spans="1:15" ht="166.5" customHeight="1" thickBot="1" x14ac:dyDescent="0.25">
      <c r="A39" s="319" t="s">
        <v>286</v>
      </c>
      <c r="B39" s="357"/>
      <c r="C39" s="357"/>
      <c r="D39" s="357"/>
      <c r="E39" s="359"/>
      <c r="F39" s="307" t="s">
        <v>287</v>
      </c>
      <c r="G39" s="357"/>
      <c r="H39" s="357"/>
      <c r="I39" s="357"/>
      <c r="J39" s="358"/>
    </row>
    <row r="41" spans="1:15" ht="13.5" thickBot="1" x14ac:dyDescent="0.25">
      <c r="A41" s="1" t="s">
        <v>17</v>
      </c>
    </row>
    <row r="42" spans="1:15" ht="13.5" thickBot="1" x14ac:dyDescent="0.25">
      <c r="A42" s="292" t="s">
        <v>18</v>
      </c>
      <c r="B42" s="293"/>
      <c r="C42" s="293"/>
      <c r="D42" s="293"/>
      <c r="E42" s="293"/>
      <c r="F42" s="294" t="s">
        <v>19</v>
      </c>
      <c r="G42" s="295"/>
      <c r="H42" s="294" t="s">
        <v>20</v>
      </c>
      <c r="I42" s="293"/>
      <c r="J42" s="293"/>
      <c r="K42" s="293"/>
      <c r="L42" s="326"/>
    </row>
    <row r="43" spans="1:15" ht="42.75" customHeight="1" thickBot="1" x14ac:dyDescent="0.25">
      <c r="A43" s="303" t="s">
        <v>296</v>
      </c>
      <c r="B43" s="304"/>
      <c r="C43" s="304"/>
      <c r="D43" s="304"/>
      <c r="E43" s="304"/>
      <c r="F43" s="371" t="s">
        <v>290</v>
      </c>
      <c r="G43" s="306"/>
      <c r="H43" s="307" t="s">
        <v>359</v>
      </c>
      <c r="I43" s="310"/>
      <c r="J43" s="310"/>
      <c r="K43" s="310"/>
      <c r="L43" s="311"/>
    </row>
    <row r="44" spans="1:15" ht="42.75" customHeight="1" thickBot="1" x14ac:dyDescent="0.25">
      <c r="A44" s="303"/>
      <c r="B44" s="304"/>
      <c r="C44" s="304"/>
      <c r="D44" s="304"/>
      <c r="E44" s="304"/>
      <c r="F44" s="305"/>
      <c r="G44" s="306"/>
      <c r="H44" s="307"/>
      <c r="I44" s="308"/>
      <c r="J44" s="308"/>
      <c r="K44" s="308"/>
      <c r="L44" s="309"/>
    </row>
    <row r="45" spans="1:15" ht="12" customHeight="1" thickBot="1" x14ac:dyDescent="0.25">
      <c r="A45" s="58"/>
      <c r="B45" s="250"/>
      <c r="C45" s="250"/>
      <c r="D45" s="250"/>
      <c r="E45" s="251"/>
      <c r="F45" s="246"/>
      <c r="G45" s="247"/>
      <c r="H45" s="55"/>
      <c r="I45" s="248"/>
      <c r="J45" s="248"/>
      <c r="K45" s="248"/>
      <c r="L45" s="249"/>
    </row>
    <row r="46" spans="1:15" ht="24.75" customHeight="1" x14ac:dyDescent="0.2">
      <c r="O46" s="32"/>
    </row>
    <row r="47" spans="1:15" ht="24.75" customHeight="1" thickBot="1" x14ac:dyDescent="0.25">
      <c r="A47" s="1" t="s">
        <v>21</v>
      </c>
      <c r="O47" s="32"/>
    </row>
    <row r="48" spans="1:15" ht="24.75" customHeight="1" thickBot="1" x14ac:dyDescent="0.25">
      <c r="A48" s="292" t="s">
        <v>18</v>
      </c>
      <c r="B48" s="293"/>
      <c r="C48" s="293"/>
      <c r="D48" s="293"/>
      <c r="E48" s="293"/>
      <c r="F48" s="294" t="s">
        <v>19</v>
      </c>
      <c r="G48" s="295"/>
      <c r="H48" s="343" t="s">
        <v>69</v>
      </c>
      <c r="I48" s="344"/>
      <c r="J48" s="344"/>
      <c r="K48" s="344"/>
      <c r="L48" s="345"/>
      <c r="O48" s="32"/>
    </row>
    <row r="49" spans="1:15" ht="115.5" customHeight="1" thickBot="1" x14ac:dyDescent="0.25">
      <c r="A49" s="391" t="s">
        <v>360</v>
      </c>
      <c r="B49" s="392"/>
      <c r="C49" s="392"/>
      <c r="D49" s="392"/>
      <c r="E49" s="392"/>
      <c r="F49" s="393" t="s">
        <v>363</v>
      </c>
      <c r="G49" s="394"/>
      <c r="H49" s="307" t="s">
        <v>366</v>
      </c>
      <c r="I49" s="357"/>
      <c r="J49" s="357"/>
      <c r="K49" s="357"/>
      <c r="L49" s="358"/>
    </row>
    <row r="50" spans="1:15" ht="115.5" customHeight="1" thickBot="1" x14ac:dyDescent="0.25">
      <c r="A50" s="387" t="s">
        <v>361</v>
      </c>
      <c r="B50" s="373"/>
      <c r="C50" s="373"/>
      <c r="D50" s="373"/>
      <c r="E50" s="373"/>
      <c r="F50" s="422" t="s">
        <v>364</v>
      </c>
      <c r="G50" s="375"/>
      <c r="H50" s="388"/>
      <c r="I50" s="389"/>
      <c r="J50" s="389"/>
      <c r="K50" s="389"/>
      <c r="L50" s="390"/>
    </row>
    <row r="51" spans="1:15" ht="115.5" customHeight="1" thickBot="1" x14ac:dyDescent="0.25">
      <c r="A51" s="303" t="s">
        <v>362</v>
      </c>
      <c r="B51" s="304"/>
      <c r="C51" s="304"/>
      <c r="D51" s="304"/>
      <c r="E51" s="304"/>
      <c r="F51" s="371" t="s">
        <v>365</v>
      </c>
      <c r="G51" s="306"/>
      <c r="H51" s="370"/>
      <c r="I51" s="310"/>
      <c r="J51" s="310"/>
      <c r="K51" s="310"/>
      <c r="L51" s="311"/>
    </row>
    <row r="53" spans="1:15" ht="24.75" customHeight="1" thickBot="1" x14ac:dyDescent="0.25">
      <c r="A53" s="50" t="s">
        <v>64</v>
      </c>
      <c r="O53" s="32"/>
    </row>
    <row r="54" spans="1:15" ht="24.75" customHeight="1" thickBot="1" x14ac:dyDescent="0.25">
      <c r="A54" s="352" t="s">
        <v>18</v>
      </c>
      <c r="B54" s="346"/>
      <c r="C54" s="346"/>
      <c r="D54" s="346"/>
      <c r="E54" s="346"/>
      <c r="F54" s="381" t="s">
        <v>65</v>
      </c>
      <c r="G54" s="382"/>
      <c r="H54" s="383" t="s">
        <v>66</v>
      </c>
      <c r="I54" s="384"/>
      <c r="J54" s="381" t="s">
        <v>67</v>
      </c>
      <c r="K54" s="385"/>
      <c r="L54" s="385"/>
      <c r="M54" s="385"/>
      <c r="N54" s="386"/>
      <c r="O54" s="32"/>
    </row>
    <row r="55" spans="1:15" ht="66.75" customHeight="1" thickBot="1" x14ac:dyDescent="0.25">
      <c r="A55" s="405" t="s">
        <v>295</v>
      </c>
      <c r="B55" s="406"/>
      <c r="C55" s="406"/>
      <c r="D55" s="406"/>
      <c r="E55" s="406"/>
      <c r="F55" s="407" t="s">
        <v>165</v>
      </c>
      <c r="G55" s="408"/>
      <c r="H55" s="409" t="s">
        <v>294</v>
      </c>
      <c r="I55" s="410"/>
      <c r="J55" s="411" t="s">
        <v>289</v>
      </c>
      <c r="K55" s="412"/>
      <c r="L55" s="412"/>
      <c r="M55" s="412"/>
      <c r="N55" s="413"/>
    </row>
    <row r="56" spans="1:15" ht="13.5" thickBot="1" x14ac:dyDescent="0.25">
      <c r="A56" s="372"/>
      <c r="B56" s="373"/>
      <c r="C56" s="373"/>
      <c r="D56" s="373"/>
      <c r="E56" s="373"/>
      <c r="F56" s="374"/>
      <c r="G56" s="375"/>
      <c r="H56" s="376"/>
      <c r="I56" s="377"/>
      <c r="J56" s="378"/>
      <c r="K56" s="379"/>
      <c r="L56" s="379"/>
      <c r="M56" s="379"/>
      <c r="N56" s="380"/>
    </row>
    <row r="57" spans="1:15" ht="13.5" thickBot="1" x14ac:dyDescent="0.25">
      <c r="A57" s="50" t="s">
        <v>68</v>
      </c>
    </row>
    <row r="58" spans="1:15" ht="13.5" thickBot="1" x14ac:dyDescent="0.25">
      <c r="A58" s="292" t="s">
        <v>18</v>
      </c>
      <c r="B58" s="293"/>
      <c r="C58" s="293"/>
      <c r="D58" s="293"/>
      <c r="E58" s="293"/>
      <c r="F58" s="294" t="s">
        <v>19</v>
      </c>
      <c r="G58" s="295"/>
      <c r="H58" s="294" t="s">
        <v>20</v>
      </c>
      <c r="I58" s="293"/>
      <c r="J58" s="293"/>
      <c r="K58" s="293"/>
      <c r="L58" s="326"/>
    </row>
    <row r="59" spans="1:15" ht="13.5" customHeight="1" thickBot="1" x14ac:dyDescent="0.25">
      <c r="A59" s="312"/>
      <c r="B59" s="313"/>
      <c r="C59" s="313"/>
      <c r="D59" s="313"/>
      <c r="E59" s="313"/>
      <c r="F59" s="314"/>
      <c r="G59" s="315"/>
      <c r="H59" s="367"/>
      <c r="I59" s="317"/>
      <c r="J59" s="317"/>
      <c r="K59" s="317"/>
      <c r="L59" s="318"/>
    </row>
    <row r="60" spans="1:15" ht="32.25" customHeight="1" thickBot="1" x14ac:dyDescent="0.25">
      <c r="A60" s="312"/>
      <c r="B60" s="313"/>
      <c r="C60" s="313"/>
      <c r="D60" s="313"/>
      <c r="E60" s="313"/>
      <c r="F60" s="314"/>
      <c r="G60" s="315"/>
      <c r="H60" s="316"/>
      <c r="I60" s="317"/>
      <c r="J60" s="317"/>
      <c r="K60" s="317"/>
      <c r="L60" s="318"/>
    </row>
    <row r="61" spans="1:15" x14ac:dyDescent="0.2">
      <c r="A61" s="312"/>
      <c r="B61" s="313"/>
      <c r="C61" s="313"/>
      <c r="D61" s="313"/>
      <c r="E61" s="313"/>
      <c r="F61" s="314"/>
      <c r="G61" s="315"/>
      <c r="H61" s="316"/>
      <c r="I61" s="317"/>
      <c r="J61" s="317"/>
      <c r="K61" s="317"/>
      <c r="L61" s="318"/>
    </row>
  </sheetData>
  <mergeCells count="98">
    <mergeCell ref="A37:E37"/>
    <mergeCell ref="F37:J37"/>
    <mergeCell ref="A36:E36"/>
    <mergeCell ref="F36:J36"/>
    <mergeCell ref="B8:F8"/>
    <mergeCell ref="G8:K8"/>
    <mergeCell ref="B9:F9"/>
    <mergeCell ref="G9:K9"/>
    <mergeCell ref="B10:F10"/>
    <mergeCell ref="G10:K10"/>
    <mergeCell ref="B11:F11"/>
    <mergeCell ref="G11:K11"/>
    <mergeCell ref="B12:F12"/>
    <mergeCell ref="G12:K12"/>
    <mergeCell ref="B13:F13"/>
    <mergeCell ref="G13:K13"/>
    <mergeCell ref="B21:F21"/>
    <mergeCell ref="G21:K21"/>
    <mergeCell ref="B15:F15"/>
    <mergeCell ref="G15:K15"/>
    <mergeCell ref="B16:F16"/>
    <mergeCell ref="G16:K16"/>
    <mergeCell ref="B17:F17"/>
    <mergeCell ref="G17:K17"/>
    <mergeCell ref="B18:F18"/>
    <mergeCell ref="G18:K18"/>
    <mergeCell ref="B19:F19"/>
    <mergeCell ref="G19:K19"/>
    <mergeCell ref="B20:F20"/>
    <mergeCell ref="B22:F22"/>
    <mergeCell ref="G22:K22"/>
    <mergeCell ref="A26:E26"/>
    <mergeCell ref="F26:J26"/>
    <mergeCell ref="A27:E27"/>
    <mergeCell ref="F27:J27"/>
    <mergeCell ref="A28:E28"/>
    <mergeCell ref="F28:J28"/>
    <mergeCell ref="A31:E31"/>
    <mergeCell ref="F31:J31"/>
    <mergeCell ref="A32:E32"/>
    <mergeCell ref="F32:J32"/>
    <mergeCell ref="A43:E43"/>
    <mergeCell ref="F43:G43"/>
    <mergeCell ref="H43:L43"/>
    <mergeCell ref="A33:E33"/>
    <mergeCell ref="F33:J33"/>
    <mergeCell ref="A34:E34"/>
    <mergeCell ref="F34:J34"/>
    <mergeCell ref="A38:E38"/>
    <mergeCell ref="F38:J38"/>
    <mergeCell ref="A39:E39"/>
    <mergeCell ref="F39:J39"/>
    <mergeCell ref="A42:E42"/>
    <mergeCell ref="F42:G42"/>
    <mergeCell ref="H42:L42"/>
    <mergeCell ref="A35:E35"/>
    <mergeCell ref="F35:J35"/>
    <mergeCell ref="A44:E44"/>
    <mergeCell ref="F44:G44"/>
    <mergeCell ref="H44:L44"/>
    <mergeCell ref="A48:E48"/>
    <mergeCell ref="F48:G48"/>
    <mergeCell ref="H48:L48"/>
    <mergeCell ref="A54:E54"/>
    <mergeCell ref="F54:G54"/>
    <mergeCell ref="H54:I54"/>
    <mergeCell ref="J54:N54"/>
    <mergeCell ref="A49:E49"/>
    <mergeCell ref="F49:G49"/>
    <mergeCell ref="H49:L49"/>
    <mergeCell ref="A50:E50"/>
    <mergeCell ref="F50:G50"/>
    <mergeCell ref="H50:L50"/>
    <mergeCell ref="A61:E61"/>
    <mergeCell ref="F61:G61"/>
    <mergeCell ref="H61:L61"/>
    <mergeCell ref="A58:E58"/>
    <mergeCell ref="F58:G58"/>
    <mergeCell ref="H58:L58"/>
    <mergeCell ref="A59:E59"/>
    <mergeCell ref="F59:G59"/>
    <mergeCell ref="H59:L59"/>
    <mergeCell ref="B14:F14"/>
    <mergeCell ref="G14:K14"/>
    <mergeCell ref="A60:E60"/>
    <mergeCell ref="F60:G60"/>
    <mergeCell ref="H60:L60"/>
    <mergeCell ref="A55:E55"/>
    <mergeCell ref="F55:G55"/>
    <mergeCell ref="H55:I55"/>
    <mergeCell ref="J55:N55"/>
    <mergeCell ref="A56:E56"/>
    <mergeCell ref="F56:G56"/>
    <mergeCell ref="H56:I56"/>
    <mergeCell ref="J56:N56"/>
    <mergeCell ref="A51:E51"/>
    <mergeCell ref="F51:G51"/>
    <mergeCell ref="H51:L51"/>
  </mergeCells>
  <pageMargins left="0.74803149606299213" right="0.74803149606299213" top="0.98425196850393704" bottom="0.98425196850393704" header="0.51181102362204722" footer="0.51181102362204722"/>
  <pageSetup scale="56" fitToHeight="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workbookViewId="0">
      <selection activeCell="B25" sqref="B25:F25"/>
    </sheetView>
  </sheetViews>
  <sheetFormatPr defaultColWidth="8.85546875" defaultRowHeight="12.75" x14ac:dyDescent="0.2"/>
  <sheetData>
    <row r="2" spans="2:13" ht="13.5" thickBot="1" x14ac:dyDescent="0.25">
      <c r="B2" s="1" t="s">
        <v>115</v>
      </c>
    </row>
    <row r="3" spans="2:13" ht="13.5" thickBot="1" x14ac:dyDescent="0.25">
      <c r="B3" s="292" t="s">
        <v>116</v>
      </c>
      <c r="C3" s="293"/>
      <c r="D3" s="293"/>
      <c r="E3" s="293"/>
      <c r="F3" s="293"/>
      <c r="G3" s="294" t="s">
        <v>117</v>
      </c>
      <c r="H3" s="295"/>
      <c r="I3" s="294" t="s">
        <v>114</v>
      </c>
      <c r="J3" s="293"/>
      <c r="K3" s="293"/>
      <c r="L3" s="293"/>
      <c r="M3" s="326"/>
    </row>
    <row r="4" spans="2:13" ht="13.5" thickBot="1" x14ac:dyDescent="0.25">
      <c r="B4" s="427"/>
      <c r="C4" s="428"/>
      <c r="D4" s="428"/>
      <c r="E4" s="428"/>
      <c r="F4" s="429"/>
      <c r="G4" s="430"/>
      <c r="H4" s="431"/>
      <c r="I4" s="432"/>
      <c r="J4" s="433"/>
      <c r="K4" s="433"/>
      <c r="L4" s="433"/>
      <c r="M4" s="434"/>
    </row>
    <row r="5" spans="2:13" ht="13.5" thickBot="1" x14ac:dyDescent="0.25">
      <c r="B5" s="435"/>
      <c r="C5" s="436"/>
      <c r="D5" s="436"/>
      <c r="E5" s="436"/>
      <c r="F5" s="436"/>
      <c r="G5" s="437"/>
      <c r="H5" s="431"/>
      <c r="I5" s="432"/>
      <c r="J5" s="433"/>
      <c r="K5" s="433"/>
      <c r="L5" s="433"/>
      <c r="M5" s="434"/>
    </row>
    <row r="6" spans="2:13" ht="13.5" thickBot="1" x14ac:dyDescent="0.25">
      <c r="B6" s="292" t="s">
        <v>118</v>
      </c>
      <c r="C6" s="293"/>
      <c r="D6" s="293"/>
      <c r="E6" s="293"/>
      <c r="F6" s="293"/>
      <c r="G6" s="294" t="s">
        <v>117</v>
      </c>
      <c r="H6" s="295"/>
      <c r="I6" s="294" t="s">
        <v>114</v>
      </c>
      <c r="J6" s="293"/>
      <c r="K6" s="293"/>
      <c r="L6" s="293"/>
      <c r="M6" s="326"/>
    </row>
    <row r="7" spans="2:13" x14ac:dyDescent="0.2">
      <c r="B7" s="438"/>
      <c r="C7" s="433"/>
      <c r="D7" s="433"/>
      <c r="E7" s="433"/>
      <c r="F7" s="433"/>
      <c r="G7" s="439"/>
      <c r="H7" s="433"/>
      <c r="I7" s="440"/>
      <c r="J7" s="441"/>
      <c r="K7" s="441"/>
      <c r="L7" s="441"/>
      <c r="M7" s="442"/>
    </row>
    <row r="8" spans="2:13" ht="13.5" thickBot="1" x14ac:dyDescent="0.25">
      <c r="B8" s="435"/>
      <c r="C8" s="436"/>
      <c r="D8" s="436"/>
      <c r="E8" s="436"/>
      <c r="F8" s="436"/>
      <c r="G8" s="443"/>
      <c r="H8" s="436"/>
      <c r="I8" s="436"/>
      <c r="J8" s="436"/>
      <c r="K8" s="436"/>
      <c r="L8" s="436"/>
      <c r="M8" s="444"/>
    </row>
    <row r="9" spans="2:13" ht="13.5" thickBot="1" x14ac:dyDescent="0.25">
      <c r="B9" s="292" t="s">
        <v>119</v>
      </c>
      <c r="C9" s="293"/>
      <c r="D9" s="293"/>
      <c r="E9" s="293"/>
      <c r="F9" s="293"/>
      <c r="G9" s="294" t="s">
        <v>117</v>
      </c>
      <c r="H9" s="295"/>
      <c r="I9" s="294" t="s">
        <v>114</v>
      </c>
      <c r="J9" s="293"/>
      <c r="K9" s="293"/>
      <c r="L9" s="293"/>
      <c r="M9" s="326"/>
    </row>
    <row r="10" spans="2:13" x14ac:dyDescent="0.2">
      <c r="B10" s="438"/>
      <c r="C10" s="433"/>
      <c r="D10" s="433"/>
      <c r="E10" s="433"/>
      <c r="F10" s="433"/>
      <c r="G10" s="439"/>
      <c r="H10" s="433"/>
      <c r="I10" s="440"/>
      <c r="J10" s="441"/>
      <c r="K10" s="441"/>
      <c r="L10" s="441"/>
      <c r="M10" s="442"/>
    </row>
    <row r="11" spans="2:13" ht="13.5" thickBot="1" x14ac:dyDescent="0.25">
      <c r="B11" s="435"/>
      <c r="C11" s="436"/>
      <c r="D11" s="436"/>
      <c r="E11" s="436"/>
      <c r="F11" s="436"/>
      <c r="G11" s="443"/>
      <c r="H11" s="436"/>
      <c r="I11" s="436"/>
      <c r="J11" s="436"/>
      <c r="K11" s="436"/>
      <c r="L11" s="436"/>
      <c r="M11" s="444"/>
    </row>
    <row r="12" spans="2:13" ht="13.5" thickBot="1" x14ac:dyDescent="0.25">
      <c r="B12" s="292" t="s">
        <v>120</v>
      </c>
      <c r="C12" s="293"/>
      <c r="D12" s="293"/>
      <c r="E12" s="293"/>
      <c r="F12" s="293"/>
      <c r="G12" s="294" t="s">
        <v>117</v>
      </c>
      <c r="H12" s="295"/>
      <c r="I12" s="294" t="s">
        <v>114</v>
      </c>
      <c r="J12" s="293"/>
      <c r="K12" s="293"/>
      <c r="L12" s="293"/>
      <c r="M12" s="326"/>
    </row>
    <row r="13" spans="2:13" x14ac:dyDescent="0.2">
      <c r="B13" s="438"/>
      <c r="C13" s="433"/>
      <c r="D13" s="433"/>
      <c r="E13" s="433"/>
      <c r="F13" s="433"/>
      <c r="G13" s="439"/>
      <c r="H13" s="433"/>
      <c r="I13" s="440"/>
      <c r="J13" s="441"/>
      <c r="K13" s="441"/>
      <c r="L13" s="441"/>
      <c r="M13" s="442"/>
    </row>
    <row r="14" spans="2:13" ht="13.5" thickBot="1" x14ac:dyDescent="0.25">
      <c r="B14" s="435"/>
      <c r="C14" s="436"/>
      <c r="D14" s="436"/>
      <c r="E14" s="436"/>
      <c r="F14" s="436"/>
      <c r="G14" s="443"/>
      <c r="H14" s="436"/>
      <c r="I14" s="436"/>
      <c r="J14" s="436"/>
      <c r="K14" s="436"/>
      <c r="L14" s="436"/>
      <c r="M14" s="444"/>
    </row>
    <row r="15" spans="2:13" ht="13.5" thickBot="1" x14ac:dyDescent="0.25">
      <c r="B15" s="292" t="s">
        <v>121</v>
      </c>
      <c r="C15" s="293"/>
      <c r="D15" s="293"/>
      <c r="E15" s="293"/>
      <c r="F15" s="293"/>
      <c r="G15" s="294" t="s">
        <v>117</v>
      </c>
      <c r="H15" s="295"/>
      <c r="I15" s="294" t="s">
        <v>114</v>
      </c>
      <c r="J15" s="293"/>
      <c r="K15" s="293"/>
      <c r="L15" s="293"/>
      <c r="M15" s="326"/>
    </row>
    <row r="16" spans="2:13" x14ac:dyDescent="0.2">
      <c r="B16" s="438"/>
      <c r="C16" s="433"/>
      <c r="D16" s="433"/>
      <c r="E16" s="433"/>
      <c r="F16" s="433"/>
      <c r="G16" s="439"/>
      <c r="H16" s="433"/>
      <c r="I16" s="440"/>
      <c r="J16" s="441"/>
      <c r="K16" s="441"/>
      <c r="L16" s="441"/>
      <c r="M16" s="442"/>
    </row>
    <row r="17" spans="2:13" ht="13.5" thickBot="1" x14ac:dyDescent="0.25">
      <c r="B17" s="435"/>
      <c r="C17" s="436"/>
      <c r="D17" s="436"/>
      <c r="E17" s="436"/>
      <c r="F17" s="436"/>
      <c r="G17" s="443"/>
      <c r="H17" s="436"/>
      <c r="I17" s="436"/>
      <c r="J17" s="436"/>
      <c r="K17" s="436"/>
      <c r="L17" s="436"/>
      <c r="M17" s="444"/>
    </row>
    <row r="18" spans="2:13" ht="13.5" thickBot="1" x14ac:dyDescent="0.25">
      <c r="B18" s="292" t="s">
        <v>122</v>
      </c>
      <c r="C18" s="293"/>
      <c r="D18" s="293"/>
      <c r="E18" s="293"/>
      <c r="F18" s="293"/>
      <c r="G18" s="294" t="s">
        <v>117</v>
      </c>
      <c r="H18" s="295"/>
      <c r="I18" s="294" t="s">
        <v>114</v>
      </c>
      <c r="J18" s="293"/>
      <c r="K18" s="293"/>
      <c r="L18" s="293"/>
      <c r="M18" s="326"/>
    </row>
    <row r="19" spans="2:13" x14ac:dyDescent="0.2">
      <c r="B19" s="438"/>
      <c r="C19" s="433"/>
      <c r="D19" s="433"/>
      <c r="E19" s="433"/>
      <c r="F19" s="433"/>
      <c r="G19" s="439"/>
      <c r="H19" s="433"/>
      <c r="I19" s="440"/>
      <c r="J19" s="441"/>
      <c r="K19" s="441"/>
      <c r="L19" s="441"/>
      <c r="M19" s="442"/>
    </row>
    <row r="20" spans="2:13" ht="13.5" thickBot="1" x14ac:dyDescent="0.25">
      <c r="B20" s="435"/>
      <c r="C20" s="436"/>
      <c r="D20" s="436"/>
      <c r="E20" s="436"/>
      <c r="F20" s="436"/>
      <c r="G20" s="443"/>
      <c r="H20" s="436"/>
      <c r="I20" s="436"/>
      <c r="J20" s="436"/>
      <c r="K20" s="436"/>
      <c r="L20" s="436"/>
      <c r="M20" s="444"/>
    </row>
    <row r="21" spans="2:13" ht="13.5" thickBot="1" x14ac:dyDescent="0.25">
      <c r="B21" s="292" t="s">
        <v>123</v>
      </c>
      <c r="C21" s="293"/>
      <c r="D21" s="293"/>
      <c r="E21" s="293"/>
      <c r="F21" s="293"/>
      <c r="G21" s="294" t="s">
        <v>117</v>
      </c>
      <c r="H21" s="295"/>
      <c r="I21" s="294" t="s">
        <v>114</v>
      </c>
      <c r="J21" s="293"/>
      <c r="K21" s="293"/>
      <c r="L21" s="293"/>
      <c r="M21" s="326"/>
    </row>
    <row r="22" spans="2:13" x14ac:dyDescent="0.2">
      <c r="B22" s="438"/>
      <c r="C22" s="433"/>
      <c r="D22" s="433"/>
      <c r="E22" s="433"/>
      <c r="F22" s="433"/>
      <c r="G22" s="439"/>
      <c r="H22" s="433"/>
      <c r="I22" s="440"/>
      <c r="J22" s="441"/>
      <c r="K22" s="441"/>
      <c r="L22" s="441"/>
      <c r="M22" s="442"/>
    </row>
    <row r="23" spans="2:13" ht="13.5" thickBot="1" x14ac:dyDescent="0.25">
      <c r="B23" s="435"/>
      <c r="C23" s="436"/>
      <c r="D23" s="436"/>
      <c r="E23" s="436"/>
      <c r="F23" s="436"/>
      <c r="G23" s="443"/>
      <c r="H23" s="436"/>
      <c r="I23" s="436"/>
      <c r="J23" s="436"/>
      <c r="K23" s="436"/>
      <c r="L23" s="436"/>
      <c r="M23" s="444"/>
    </row>
    <row r="24" spans="2:13" ht="13.5" thickBot="1" x14ac:dyDescent="0.25">
      <c r="B24" s="292" t="s">
        <v>124</v>
      </c>
      <c r="C24" s="293"/>
      <c r="D24" s="293"/>
      <c r="E24" s="293"/>
      <c r="F24" s="293"/>
      <c r="G24" s="294" t="s">
        <v>117</v>
      </c>
      <c r="H24" s="295"/>
      <c r="I24" s="294" t="s">
        <v>114</v>
      </c>
      <c r="J24" s="293"/>
      <c r="K24" s="293"/>
      <c r="L24" s="293"/>
      <c r="M24" s="326"/>
    </row>
    <row r="25" spans="2:13" x14ac:dyDescent="0.2">
      <c r="B25" s="438"/>
      <c r="C25" s="433"/>
      <c r="D25" s="433"/>
      <c r="E25" s="433"/>
      <c r="F25" s="433"/>
      <c r="G25" s="439"/>
      <c r="H25" s="433"/>
      <c r="I25" s="440"/>
      <c r="J25" s="441"/>
      <c r="K25" s="441"/>
      <c r="L25" s="441"/>
      <c r="M25" s="442"/>
    </row>
    <row r="26" spans="2:13" ht="13.5" thickBot="1" x14ac:dyDescent="0.25">
      <c r="B26" s="435"/>
      <c r="C26" s="436"/>
      <c r="D26" s="436"/>
      <c r="E26" s="436"/>
      <c r="F26" s="436"/>
      <c r="G26" s="443"/>
      <c r="H26" s="436"/>
      <c r="I26" s="436"/>
      <c r="J26" s="436"/>
      <c r="K26" s="436"/>
      <c r="L26" s="436"/>
      <c r="M26" s="444"/>
    </row>
    <row r="27" spans="2:13" ht="13.5" thickBot="1" x14ac:dyDescent="0.25">
      <c r="B27" s="292" t="s">
        <v>125</v>
      </c>
      <c r="C27" s="293"/>
      <c r="D27" s="293"/>
      <c r="E27" s="293"/>
      <c r="F27" s="293"/>
      <c r="G27" s="294" t="s">
        <v>117</v>
      </c>
      <c r="H27" s="295"/>
      <c r="I27" s="294" t="s">
        <v>114</v>
      </c>
      <c r="J27" s="293"/>
      <c r="K27" s="293"/>
      <c r="L27" s="293"/>
      <c r="M27" s="326"/>
    </row>
    <row r="28" spans="2:13" x14ac:dyDescent="0.2">
      <c r="B28" s="438"/>
      <c r="C28" s="433"/>
      <c r="D28" s="433"/>
      <c r="E28" s="433"/>
      <c r="F28" s="433"/>
      <c r="G28" s="439"/>
      <c r="H28" s="433"/>
      <c r="I28" s="440"/>
      <c r="J28" s="441"/>
      <c r="K28" s="441"/>
      <c r="L28" s="441"/>
      <c r="M28" s="442"/>
    </row>
    <row r="29" spans="2:13" ht="13.5" thickBot="1" x14ac:dyDescent="0.25">
      <c r="B29" s="435"/>
      <c r="C29" s="436"/>
      <c r="D29" s="436"/>
      <c r="E29" s="436"/>
      <c r="F29" s="436"/>
      <c r="G29" s="443"/>
      <c r="H29" s="436"/>
      <c r="I29" s="436"/>
      <c r="J29" s="436"/>
      <c r="K29" s="436"/>
      <c r="L29" s="436"/>
      <c r="M29" s="444"/>
    </row>
  </sheetData>
  <mergeCells count="81">
    <mergeCell ref="B29:F29"/>
    <mergeCell ref="G29:H29"/>
    <mergeCell ref="I29:M29"/>
    <mergeCell ref="B27:F27"/>
    <mergeCell ref="G27:H27"/>
    <mergeCell ref="I27:M27"/>
    <mergeCell ref="B28:F28"/>
    <mergeCell ref="G28:H28"/>
    <mergeCell ref="I28:M28"/>
    <mergeCell ref="B25:F25"/>
    <mergeCell ref="G25:H25"/>
    <mergeCell ref="I25:M25"/>
    <mergeCell ref="B26:F26"/>
    <mergeCell ref="G26:H26"/>
    <mergeCell ref="I26:M26"/>
    <mergeCell ref="B23:F23"/>
    <mergeCell ref="G23:H23"/>
    <mergeCell ref="I23:M23"/>
    <mergeCell ref="B24:F24"/>
    <mergeCell ref="G24:H24"/>
    <mergeCell ref="I24:M24"/>
    <mergeCell ref="B21:F21"/>
    <mergeCell ref="G21:H21"/>
    <mergeCell ref="I21:M21"/>
    <mergeCell ref="B22:F22"/>
    <mergeCell ref="G22:H22"/>
    <mergeCell ref="I22:M22"/>
    <mergeCell ref="B19:F19"/>
    <mergeCell ref="G19:H19"/>
    <mergeCell ref="I19:M19"/>
    <mergeCell ref="B20:F20"/>
    <mergeCell ref="G20:H20"/>
    <mergeCell ref="I20:M20"/>
    <mergeCell ref="B17:F17"/>
    <mergeCell ref="G17:H17"/>
    <mergeCell ref="I17:M17"/>
    <mergeCell ref="B18:F18"/>
    <mergeCell ref="G18:H18"/>
    <mergeCell ref="I18:M18"/>
    <mergeCell ref="B15:F15"/>
    <mergeCell ref="G15:H15"/>
    <mergeCell ref="I15:M15"/>
    <mergeCell ref="B16:F16"/>
    <mergeCell ref="G16:H16"/>
    <mergeCell ref="I16:M16"/>
    <mergeCell ref="B13:F13"/>
    <mergeCell ref="G13:H13"/>
    <mergeCell ref="I13:M13"/>
    <mergeCell ref="B14:F14"/>
    <mergeCell ref="G14:H14"/>
    <mergeCell ref="I14:M14"/>
    <mergeCell ref="B11:F11"/>
    <mergeCell ref="G11:H11"/>
    <mergeCell ref="I11:M11"/>
    <mergeCell ref="B12:F12"/>
    <mergeCell ref="G12:H12"/>
    <mergeCell ref="I12:M12"/>
    <mergeCell ref="B9:F9"/>
    <mergeCell ref="G9:H9"/>
    <mergeCell ref="I9:M9"/>
    <mergeCell ref="B10:F10"/>
    <mergeCell ref="G10:H10"/>
    <mergeCell ref="I10:M10"/>
    <mergeCell ref="B7:F7"/>
    <mergeCell ref="G7:H7"/>
    <mergeCell ref="I7:M7"/>
    <mergeCell ref="B8:F8"/>
    <mergeCell ref="G8:H8"/>
    <mergeCell ref="I8:M8"/>
    <mergeCell ref="B5:F5"/>
    <mergeCell ref="G5:H5"/>
    <mergeCell ref="I5:M5"/>
    <mergeCell ref="B6:F6"/>
    <mergeCell ref="G6:H6"/>
    <mergeCell ref="I6:M6"/>
    <mergeCell ref="B3:F3"/>
    <mergeCell ref="G3:H3"/>
    <mergeCell ref="I3:M3"/>
    <mergeCell ref="B4:F4"/>
    <mergeCell ref="G4:H4"/>
    <mergeCell ref="I4:M4"/>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30"/>
  <sheetViews>
    <sheetView zoomScale="90" zoomScaleNormal="90" zoomScalePageLayoutView="90" workbookViewId="0">
      <pane ySplit="8" topLeftCell="A9" activePane="bottomLeft" state="frozen"/>
      <selection pane="bottomLeft" activeCell="E11" sqref="E11"/>
    </sheetView>
  </sheetViews>
  <sheetFormatPr defaultColWidth="8.85546875" defaultRowHeight="12.75" x14ac:dyDescent="0.2"/>
  <cols>
    <col min="1" max="1" width="13.42578125" customWidth="1"/>
    <col min="2" max="2" width="37.42578125" customWidth="1"/>
    <col min="3" max="3" width="19.7109375" customWidth="1"/>
    <col min="4" max="4" width="16.140625" customWidth="1"/>
    <col min="5" max="5" width="13" customWidth="1"/>
    <col min="6" max="6" width="21.7109375" customWidth="1"/>
    <col min="7" max="7" width="63" customWidth="1"/>
  </cols>
  <sheetData>
    <row r="1" spans="1:7" ht="13.5" thickBot="1" x14ac:dyDescent="0.25"/>
    <row r="2" spans="1:7" ht="13.5" thickBot="1" x14ac:dyDescent="0.25">
      <c r="A2" s="6" t="s">
        <v>24</v>
      </c>
      <c r="B2" s="9"/>
      <c r="D2" s="11"/>
      <c r="E2" s="12" t="s">
        <v>42</v>
      </c>
      <c r="F2" s="52"/>
      <c r="G2" s="62" t="s">
        <v>73</v>
      </c>
    </row>
    <row r="3" spans="1:7" x14ac:dyDescent="0.2">
      <c r="A3" s="10" t="s">
        <v>28</v>
      </c>
      <c r="B3" s="21" t="str">
        <f>Metrics!B3</f>
        <v>Tier-1</v>
      </c>
      <c r="D3" s="13"/>
      <c r="E3" s="14" t="s">
        <v>39</v>
      </c>
      <c r="F3" s="33"/>
      <c r="G3" t="s">
        <v>4</v>
      </c>
    </row>
    <row r="4" spans="1:7" x14ac:dyDescent="0.2">
      <c r="A4" s="4" t="s">
        <v>25</v>
      </c>
      <c r="B4" s="19" t="str">
        <f>Metrics!B4</f>
        <v>Q416</v>
      </c>
      <c r="D4" s="15"/>
      <c r="E4" s="14" t="s">
        <v>40</v>
      </c>
      <c r="F4" s="51"/>
      <c r="G4" t="s">
        <v>3</v>
      </c>
    </row>
    <row r="5" spans="1:7" ht="13.5" thickBot="1" x14ac:dyDescent="0.25">
      <c r="A5" s="5" t="s">
        <v>29</v>
      </c>
      <c r="B5" s="20" t="str">
        <f>Metrics!B5</f>
        <v>Gareth Smith</v>
      </c>
      <c r="D5" s="16"/>
      <c r="E5" s="17" t="s">
        <v>34</v>
      </c>
      <c r="F5" s="63"/>
      <c r="G5" t="s">
        <v>0</v>
      </c>
    </row>
    <row r="6" spans="1:7" x14ac:dyDescent="0.2">
      <c r="A6" s="29" t="s">
        <v>57</v>
      </c>
    </row>
    <row r="7" spans="1:7" ht="13.5" thickBot="1" x14ac:dyDescent="0.25"/>
    <row r="8" spans="1:7" ht="20.100000000000001" customHeight="1" thickBot="1" x14ac:dyDescent="0.25">
      <c r="A8" s="7" t="s">
        <v>35</v>
      </c>
      <c r="B8" s="7" t="s">
        <v>27</v>
      </c>
      <c r="C8" s="7" t="s">
        <v>26</v>
      </c>
      <c r="D8" s="7" t="s">
        <v>36</v>
      </c>
      <c r="E8" s="7" t="s">
        <v>37</v>
      </c>
      <c r="F8" s="7" t="s">
        <v>38</v>
      </c>
      <c r="G8" s="7" t="s">
        <v>33</v>
      </c>
    </row>
    <row r="9" spans="1:7" s="30" customFormat="1" ht="25.5" x14ac:dyDescent="0.2">
      <c r="A9" s="221" t="s">
        <v>229</v>
      </c>
      <c r="B9" s="222" t="s">
        <v>99</v>
      </c>
      <c r="C9" s="223" t="s">
        <v>54</v>
      </c>
      <c r="D9" s="224">
        <v>42522</v>
      </c>
      <c r="E9" s="225"/>
      <c r="F9" s="225"/>
      <c r="G9" s="225" t="s">
        <v>288</v>
      </c>
    </row>
    <row r="10" spans="1:7" x14ac:dyDescent="0.2">
      <c r="A10" s="241" t="s">
        <v>230</v>
      </c>
      <c r="B10" s="242" t="s">
        <v>221</v>
      </c>
      <c r="C10" s="242" t="s">
        <v>54</v>
      </c>
      <c r="D10" s="243">
        <v>42675</v>
      </c>
      <c r="E10" s="244">
        <v>42767</v>
      </c>
      <c r="F10" s="245"/>
      <c r="G10" s="245" t="s">
        <v>306</v>
      </c>
    </row>
    <row r="11" spans="1:7" x14ac:dyDescent="0.2">
      <c r="A11" s="258" t="s">
        <v>231</v>
      </c>
      <c r="B11" s="259" t="s">
        <v>222</v>
      </c>
      <c r="C11" s="259" t="s">
        <v>54</v>
      </c>
      <c r="D11" s="260">
        <v>42826</v>
      </c>
      <c r="E11" s="261"/>
      <c r="F11" s="261"/>
      <c r="G11" s="261" t="s">
        <v>358</v>
      </c>
    </row>
    <row r="12" spans="1:7" x14ac:dyDescent="0.2">
      <c r="A12" s="205" t="s">
        <v>232</v>
      </c>
      <c r="B12" s="203" t="s">
        <v>126</v>
      </c>
      <c r="C12" s="158" t="s">
        <v>54</v>
      </c>
      <c r="D12" s="204">
        <v>42856</v>
      </c>
      <c r="E12" s="156"/>
      <c r="F12" s="156"/>
      <c r="G12" s="156"/>
    </row>
    <row r="13" spans="1:7" x14ac:dyDescent="0.2">
      <c r="A13" s="205" t="s">
        <v>233</v>
      </c>
      <c r="B13" s="203" t="s">
        <v>99</v>
      </c>
      <c r="C13" s="158" t="s">
        <v>54</v>
      </c>
      <c r="D13" s="204">
        <v>42887</v>
      </c>
      <c r="E13" s="156"/>
      <c r="F13" s="156"/>
      <c r="G13" s="156"/>
    </row>
    <row r="14" spans="1:7" x14ac:dyDescent="0.2">
      <c r="A14" s="205" t="s">
        <v>234</v>
      </c>
      <c r="B14" s="203" t="s">
        <v>223</v>
      </c>
      <c r="C14" s="158" t="s">
        <v>54</v>
      </c>
      <c r="D14" s="204">
        <v>43040</v>
      </c>
      <c r="E14" s="156"/>
      <c r="F14" s="156"/>
      <c r="G14" s="156"/>
    </row>
    <row r="15" spans="1:7" x14ac:dyDescent="0.2">
      <c r="A15" s="205" t="s">
        <v>235</v>
      </c>
      <c r="B15" s="203" t="s">
        <v>224</v>
      </c>
      <c r="C15" s="158" t="s">
        <v>54</v>
      </c>
      <c r="D15" s="204">
        <v>43191</v>
      </c>
      <c r="E15" s="156"/>
      <c r="F15" s="156"/>
      <c r="G15" s="156"/>
    </row>
    <row r="16" spans="1:7" x14ac:dyDescent="0.2">
      <c r="A16" s="205" t="s">
        <v>236</v>
      </c>
      <c r="B16" s="203" t="s">
        <v>126</v>
      </c>
      <c r="C16" s="158" t="s">
        <v>54</v>
      </c>
      <c r="D16" s="204">
        <v>43221</v>
      </c>
      <c r="E16" s="156"/>
      <c r="F16" s="156"/>
      <c r="G16" s="156"/>
    </row>
    <row r="17" spans="1:7" s="30" customFormat="1" x14ac:dyDescent="0.2">
      <c r="A17" s="205" t="s">
        <v>237</v>
      </c>
      <c r="B17" s="202" t="s">
        <v>99</v>
      </c>
      <c r="C17" s="158" t="s">
        <v>54</v>
      </c>
      <c r="D17" s="204">
        <v>43252</v>
      </c>
      <c r="E17" s="156"/>
      <c r="F17" s="156"/>
      <c r="G17" s="156"/>
    </row>
    <row r="18" spans="1:7" s="30" customFormat="1" x14ac:dyDescent="0.2">
      <c r="A18" s="205" t="s">
        <v>238</v>
      </c>
      <c r="B18" s="203" t="s">
        <v>225</v>
      </c>
      <c r="C18" s="158" t="s">
        <v>54</v>
      </c>
      <c r="D18" s="204">
        <v>43405</v>
      </c>
      <c r="E18" s="156"/>
      <c r="F18" s="156"/>
      <c r="G18" s="156"/>
    </row>
    <row r="19" spans="1:7" x14ac:dyDescent="0.2">
      <c r="A19" s="205" t="s">
        <v>239</v>
      </c>
      <c r="B19" s="203" t="s">
        <v>226</v>
      </c>
      <c r="C19" s="158" t="s">
        <v>54</v>
      </c>
      <c r="D19" s="204">
        <v>43556</v>
      </c>
      <c r="E19" s="156"/>
      <c r="F19" s="156"/>
      <c r="G19" s="156"/>
    </row>
    <row r="20" spans="1:7" ht="32.25" customHeight="1" x14ac:dyDescent="0.2">
      <c r="A20" s="205" t="s">
        <v>240</v>
      </c>
      <c r="B20" s="203" t="s">
        <v>126</v>
      </c>
      <c r="C20" s="158" t="s">
        <v>54</v>
      </c>
      <c r="D20" s="204">
        <v>43586</v>
      </c>
      <c r="E20" s="156"/>
      <c r="F20" s="156"/>
      <c r="G20" s="156"/>
    </row>
    <row r="21" spans="1:7" x14ac:dyDescent="0.2">
      <c r="A21" s="205" t="s">
        <v>241</v>
      </c>
      <c r="B21" s="202" t="s">
        <v>99</v>
      </c>
      <c r="C21" s="158" t="s">
        <v>54</v>
      </c>
      <c r="D21" s="204">
        <v>43617</v>
      </c>
      <c r="E21" s="156"/>
      <c r="F21" s="156"/>
      <c r="G21" s="156"/>
    </row>
    <row r="22" spans="1:7" s="30" customFormat="1" ht="42.75" customHeight="1" x14ac:dyDescent="0.2">
      <c r="A22" s="205" t="s">
        <v>242</v>
      </c>
      <c r="B22" s="203" t="s">
        <v>227</v>
      </c>
      <c r="C22" s="158" t="s">
        <v>54</v>
      </c>
      <c r="D22" s="204">
        <v>43770</v>
      </c>
      <c r="E22" s="156"/>
      <c r="F22" s="156"/>
      <c r="G22" s="156"/>
    </row>
    <row r="23" spans="1:7" s="30" customFormat="1" ht="42.75" customHeight="1" x14ac:dyDescent="0.2">
      <c r="A23" s="205" t="s">
        <v>243</v>
      </c>
      <c r="B23" s="203" t="s">
        <v>228</v>
      </c>
      <c r="C23" s="158" t="s">
        <v>54</v>
      </c>
      <c r="D23" s="204">
        <v>43922</v>
      </c>
      <c r="E23" s="156"/>
      <c r="F23" s="156"/>
      <c r="G23" s="156"/>
    </row>
    <row r="24" spans="1:7" s="30" customFormat="1" ht="128.25" customHeight="1" x14ac:dyDescent="0.2">
      <c r="A24" s="205" t="s">
        <v>244</v>
      </c>
      <c r="B24" s="203" t="s">
        <v>126</v>
      </c>
      <c r="C24" s="158" t="s">
        <v>54</v>
      </c>
      <c r="D24" s="204">
        <v>43952</v>
      </c>
      <c r="E24" s="156"/>
      <c r="F24" s="156"/>
      <c r="G24" s="156"/>
    </row>
    <row r="25" spans="1:7" s="30" customFormat="1" ht="48.75" customHeight="1" x14ac:dyDescent="0.2"/>
    <row r="26" spans="1:7" s="30" customFormat="1" x14ac:dyDescent="0.2"/>
    <row r="27" spans="1:7" s="30" customFormat="1" x14ac:dyDescent="0.2"/>
    <row r="28" spans="1:7" s="30" customFormat="1" x14ac:dyDescent="0.2"/>
    <row r="29" spans="1:7" s="30" customFormat="1" ht="49.5" customHeight="1" x14ac:dyDescent="0.2"/>
    <row r="30" spans="1:7" s="30" customFormat="1" ht="35.1" customHeight="1" x14ac:dyDescent="0.2"/>
  </sheetData>
  <phoneticPr fontId="0" type="noConversion"/>
  <pageMargins left="0.75" right="0.75" top="1" bottom="1" header="0.5" footer="0.5"/>
  <pageSetup paperSize="9" scale="73" orientation="landscape"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zoomScale="80" zoomScaleNormal="80" zoomScalePageLayoutView="90" workbookViewId="0">
      <selection activeCell="B4" sqref="B4"/>
    </sheetView>
  </sheetViews>
  <sheetFormatPr defaultColWidth="8.85546875" defaultRowHeight="12.75" x14ac:dyDescent="0.2"/>
  <cols>
    <col min="1" max="1" width="15" customWidth="1"/>
    <col min="2" max="4" width="24.42578125" customWidth="1"/>
    <col min="5" max="5" width="22.140625" customWidth="1"/>
    <col min="10" max="10" width="18.140625" customWidth="1"/>
    <col min="11" max="11" width="15.85546875" customWidth="1"/>
    <col min="12" max="12" width="29.85546875" customWidth="1"/>
    <col min="13" max="13" width="15" customWidth="1"/>
  </cols>
  <sheetData>
    <row r="1" spans="1:13" s="30" customFormat="1" ht="15.75" thickBot="1" x14ac:dyDescent="0.25">
      <c r="A1" s="96"/>
      <c r="B1" s="96"/>
      <c r="C1" s="96"/>
      <c r="D1" s="96"/>
      <c r="E1" s="96"/>
      <c r="F1" s="96"/>
      <c r="G1" s="96"/>
      <c r="H1" s="96"/>
      <c r="I1" s="96"/>
      <c r="J1" s="96"/>
      <c r="K1" s="96"/>
    </row>
    <row r="2" spans="1:13" s="30" customFormat="1" ht="16.5" thickBot="1" x14ac:dyDescent="0.3">
      <c r="A2" s="97" t="s">
        <v>24</v>
      </c>
      <c r="B2" s="98"/>
      <c r="E2" s="96"/>
      <c r="F2" s="96"/>
      <c r="G2" s="96"/>
      <c r="H2" s="96"/>
      <c r="I2" s="96"/>
    </row>
    <row r="3" spans="1:13" s="30" customFormat="1" ht="15.75" x14ac:dyDescent="0.25">
      <c r="A3" s="99" t="s">
        <v>28</v>
      </c>
      <c r="B3" s="100" t="s">
        <v>53</v>
      </c>
      <c r="E3" s="96"/>
      <c r="F3" s="96"/>
      <c r="G3" s="96"/>
      <c r="H3" s="96"/>
      <c r="I3" s="96"/>
    </row>
    <row r="4" spans="1:13" s="30" customFormat="1" ht="15.75" x14ac:dyDescent="0.25">
      <c r="A4" s="101" t="s">
        <v>25</v>
      </c>
      <c r="B4" s="71" t="s">
        <v>145</v>
      </c>
      <c r="E4" s="96"/>
      <c r="F4" s="96"/>
      <c r="G4" s="96"/>
      <c r="H4" s="96"/>
      <c r="I4" s="96"/>
    </row>
    <row r="5" spans="1:13" s="30" customFormat="1" ht="16.5" thickBot="1" x14ac:dyDescent="0.3">
      <c r="A5" s="102" t="s">
        <v>29</v>
      </c>
      <c r="B5" s="103" t="s">
        <v>54</v>
      </c>
      <c r="E5" s="96"/>
      <c r="F5" s="96"/>
      <c r="G5" s="96"/>
      <c r="H5" s="96"/>
      <c r="I5" s="96"/>
    </row>
    <row r="6" spans="1:13" s="30" customFormat="1" ht="15" x14ac:dyDescent="0.2">
      <c r="A6" s="96"/>
      <c r="B6" s="96"/>
      <c r="C6" s="96"/>
      <c r="D6" s="96"/>
      <c r="E6" s="96"/>
      <c r="F6" s="96"/>
      <c r="G6" s="96"/>
      <c r="H6" s="96"/>
      <c r="I6" s="96"/>
    </row>
    <row r="7" spans="1:13" s="30" customFormat="1" ht="16.5" thickBot="1" x14ac:dyDescent="0.3">
      <c r="A7" s="104" t="s">
        <v>45</v>
      </c>
      <c r="B7" s="104"/>
      <c r="C7" s="104"/>
      <c r="D7" s="96"/>
      <c r="E7" s="96"/>
      <c r="F7" s="96"/>
      <c r="G7" s="96"/>
      <c r="H7" s="96"/>
      <c r="I7" s="96"/>
    </row>
    <row r="8" spans="1:13" s="30" customFormat="1" ht="13.5" customHeight="1" thickBot="1" x14ac:dyDescent="0.3">
      <c r="A8" s="105"/>
      <c r="B8" s="106"/>
      <c r="C8" s="107"/>
      <c r="D8" s="289" t="s">
        <v>6</v>
      </c>
      <c r="E8" s="290"/>
      <c r="F8" s="291"/>
      <c r="G8" s="290" t="s">
        <v>7</v>
      </c>
      <c r="H8" s="290"/>
      <c r="I8" s="291"/>
    </row>
    <row r="9" spans="1:13" s="30" customFormat="1" ht="32.25" thickBot="1" x14ac:dyDescent="0.3">
      <c r="A9" s="108" t="s">
        <v>22</v>
      </c>
      <c r="B9" s="109" t="s">
        <v>41</v>
      </c>
      <c r="C9" s="109" t="s">
        <v>71</v>
      </c>
      <c r="D9" s="110" t="s">
        <v>5</v>
      </c>
      <c r="E9" s="111" t="s">
        <v>8</v>
      </c>
      <c r="F9" s="112" t="s">
        <v>9</v>
      </c>
      <c r="G9" s="113" t="s">
        <v>5</v>
      </c>
      <c r="H9" s="111" t="s">
        <v>8</v>
      </c>
      <c r="I9" s="114" t="s">
        <v>9</v>
      </c>
    </row>
    <row r="10" spans="1:13" s="30" customFormat="1" ht="31.5" x14ac:dyDescent="0.25">
      <c r="A10" s="115" t="s">
        <v>53</v>
      </c>
      <c r="B10" s="116" t="s">
        <v>107</v>
      </c>
      <c r="C10" s="117" t="s">
        <v>170</v>
      </c>
      <c r="D10" s="144">
        <v>3.8</v>
      </c>
      <c r="E10" s="144">
        <v>3.8</v>
      </c>
      <c r="F10" s="144">
        <v>3.8</v>
      </c>
      <c r="G10" s="165"/>
      <c r="H10" s="166"/>
      <c r="I10" s="167"/>
      <c r="J10" s="128"/>
      <c r="K10" s="141"/>
      <c r="L10" s="70">
        <f>SUM(D10:F10)</f>
        <v>11.399999999999999</v>
      </c>
      <c r="M10" s="70">
        <f>SUM(G10:I10)</f>
        <v>0</v>
      </c>
    </row>
    <row r="11" spans="1:13" s="30" customFormat="1" ht="63" x14ac:dyDescent="0.25">
      <c r="A11" s="118" t="s">
        <v>53</v>
      </c>
      <c r="B11" s="119" t="s">
        <v>108</v>
      </c>
      <c r="C11" s="120" t="s">
        <v>129</v>
      </c>
      <c r="D11" s="145">
        <v>4.55</v>
      </c>
      <c r="E11" s="145">
        <v>4.55</v>
      </c>
      <c r="F11" s="145">
        <v>4.55</v>
      </c>
      <c r="G11" s="168"/>
      <c r="H11" s="168"/>
      <c r="I11" s="168"/>
      <c r="J11" s="128" t="s">
        <v>139</v>
      </c>
      <c r="L11" s="70">
        <f>SUM(D11:F11)</f>
        <v>13.649999999999999</v>
      </c>
      <c r="M11" s="70">
        <f>SUM(G11:I11)</f>
        <v>0</v>
      </c>
    </row>
    <row r="12" spans="1:13" s="30" customFormat="1" ht="90" x14ac:dyDescent="0.25">
      <c r="A12" s="118" t="s">
        <v>53</v>
      </c>
      <c r="B12" s="119" t="s">
        <v>49</v>
      </c>
      <c r="C12" s="120" t="s">
        <v>169</v>
      </c>
      <c r="D12" s="146">
        <v>4.5999999999999996</v>
      </c>
      <c r="E12" s="146">
        <v>4.5999999999999996</v>
      </c>
      <c r="F12" s="146">
        <v>4.5999999999999996</v>
      </c>
      <c r="G12" s="169"/>
      <c r="H12" s="169"/>
      <c r="I12" s="169"/>
      <c r="J12" s="94" t="s">
        <v>146</v>
      </c>
      <c r="L12" s="70">
        <f>SUM(D12:F12)</f>
        <v>13.799999999999999</v>
      </c>
      <c r="M12" s="70">
        <f>SUM(G12:I12)</f>
        <v>0</v>
      </c>
    </row>
    <row r="13" spans="1:13" s="30" customFormat="1" ht="31.5" x14ac:dyDescent="0.25">
      <c r="A13" s="118" t="s">
        <v>53</v>
      </c>
      <c r="B13" s="119" t="s">
        <v>109</v>
      </c>
      <c r="C13" s="120" t="s">
        <v>138</v>
      </c>
      <c r="D13" s="146">
        <v>1.1000000000000001</v>
      </c>
      <c r="E13" s="146">
        <v>1.1000000000000001</v>
      </c>
      <c r="F13" s="146">
        <v>1.1000000000000001</v>
      </c>
      <c r="G13" s="169"/>
      <c r="H13" s="170"/>
      <c r="I13" s="171"/>
      <c r="J13" s="129"/>
      <c r="L13" s="70">
        <f>SUM(D13:F13)</f>
        <v>3.3000000000000003</v>
      </c>
    </row>
    <row r="14" spans="1:13" s="30" customFormat="1" ht="15.75" x14ac:dyDescent="0.25">
      <c r="A14" s="118" t="s">
        <v>53</v>
      </c>
      <c r="B14" s="119" t="s">
        <v>52</v>
      </c>
      <c r="C14" s="120" t="s">
        <v>72</v>
      </c>
      <c r="D14" s="146">
        <v>0.2</v>
      </c>
      <c r="E14" s="146">
        <v>0.2</v>
      </c>
      <c r="F14" s="146">
        <v>0.2</v>
      </c>
      <c r="G14" s="169"/>
      <c r="H14" s="169"/>
      <c r="I14" s="169"/>
      <c r="J14" s="129" t="s">
        <v>140</v>
      </c>
      <c r="L14" s="70">
        <f t="shared" ref="L14:L17" si="0">SUM(D14:F14)</f>
        <v>0.60000000000000009</v>
      </c>
      <c r="M14" s="70">
        <f>SUM(G14:I14)</f>
        <v>0</v>
      </c>
    </row>
    <row r="15" spans="1:13" s="30" customFormat="1" ht="31.5" x14ac:dyDescent="0.25">
      <c r="A15" s="118" t="s">
        <v>53</v>
      </c>
      <c r="B15" s="119" t="s">
        <v>50</v>
      </c>
      <c r="C15" s="120" t="s">
        <v>128</v>
      </c>
      <c r="D15" s="146">
        <v>0.4</v>
      </c>
      <c r="E15" s="146">
        <v>0.4</v>
      </c>
      <c r="F15" s="146">
        <v>0.4</v>
      </c>
      <c r="G15" s="146">
        <v>0.9</v>
      </c>
      <c r="H15" s="146">
        <v>0.9</v>
      </c>
      <c r="I15" s="146">
        <v>0.9</v>
      </c>
      <c r="J15" s="129"/>
      <c r="K15" s="94"/>
      <c r="L15" s="70">
        <f>SUM(D15:F15)</f>
        <v>1.2000000000000002</v>
      </c>
      <c r="M15" s="70">
        <f>SUM(G15:I15)</f>
        <v>2.7</v>
      </c>
    </row>
    <row r="16" spans="1:13" s="30" customFormat="1" ht="15.75" x14ac:dyDescent="0.25">
      <c r="A16" s="118" t="s">
        <v>53</v>
      </c>
      <c r="B16" s="119" t="s">
        <v>51</v>
      </c>
      <c r="C16" s="120"/>
      <c r="D16" s="169"/>
      <c r="E16" s="170"/>
      <c r="F16" s="172"/>
      <c r="G16" s="146">
        <v>0.5</v>
      </c>
      <c r="H16" s="146">
        <v>0.5</v>
      </c>
      <c r="I16" s="146">
        <v>0.5</v>
      </c>
      <c r="J16" s="129"/>
      <c r="L16" s="70">
        <f t="shared" si="0"/>
        <v>0</v>
      </c>
      <c r="M16" s="70">
        <f>SUM(G16:I16)</f>
        <v>1.5</v>
      </c>
    </row>
    <row r="17" spans="1:14" s="30" customFormat="1" ht="16.5" thickBot="1" x14ac:dyDescent="0.3">
      <c r="A17" s="118" t="s">
        <v>53</v>
      </c>
      <c r="B17" s="119" t="s">
        <v>61</v>
      </c>
      <c r="C17" s="120" t="s">
        <v>112</v>
      </c>
      <c r="D17" s="147">
        <v>2.8</v>
      </c>
      <c r="E17" s="147">
        <v>2.8</v>
      </c>
      <c r="F17" s="147">
        <v>2.8</v>
      </c>
      <c r="G17" s="173"/>
      <c r="H17" s="173"/>
      <c r="I17" s="173"/>
      <c r="J17" s="129"/>
      <c r="L17" s="70">
        <f t="shared" si="0"/>
        <v>8.3999999999999986</v>
      </c>
      <c r="M17" s="70">
        <f>SUM(G17:I17)</f>
        <v>0</v>
      </c>
    </row>
    <row r="18" spans="1:14" s="30" customFormat="1" ht="16.5" thickBot="1" x14ac:dyDescent="0.3">
      <c r="A18" s="121" t="s">
        <v>23</v>
      </c>
      <c r="B18" s="122"/>
      <c r="C18" s="123"/>
      <c r="D18" s="124">
        <f>SUM(D10:D17)</f>
        <v>17.45</v>
      </c>
      <c r="E18" s="124">
        <f t="shared" ref="E18:H18" si="1">SUM(E10:E17)</f>
        <v>17.45</v>
      </c>
      <c r="F18" s="124">
        <f t="shared" si="1"/>
        <v>17.45</v>
      </c>
      <c r="G18" s="124">
        <f>SUM(G10:G17)</f>
        <v>1.4</v>
      </c>
      <c r="H18" s="124">
        <f t="shared" si="1"/>
        <v>1.4</v>
      </c>
      <c r="I18" s="124">
        <f>SUM(I10:I17)</f>
        <v>1.4</v>
      </c>
      <c r="N18" s="70"/>
    </row>
    <row r="19" spans="1:14" ht="15" x14ac:dyDescent="0.2">
      <c r="A19" s="125"/>
      <c r="B19" s="125"/>
      <c r="C19" s="125"/>
      <c r="D19" s="125"/>
      <c r="E19" s="125"/>
      <c r="F19" s="126"/>
      <c r="G19" s="125"/>
      <c r="H19" s="125"/>
      <c r="I19" s="125"/>
      <c r="J19" s="125"/>
      <c r="K19" s="125"/>
    </row>
    <row r="20" spans="1:14" ht="15" x14ac:dyDescent="0.2">
      <c r="A20" s="125"/>
      <c r="B20" s="125"/>
      <c r="C20" s="125"/>
      <c r="D20" s="125"/>
      <c r="E20" s="125"/>
      <c r="F20" s="125"/>
      <c r="G20" s="125"/>
      <c r="H20" s="126"/>
      <c r="I20" s="125"/>
      <c r="J20" s="125"/>
      <c r="K20" s="125"/>
    </row>
    <row r="21" spans="1:14" ht="15" x14ac:dyDescent="0.2">
      <c r="A21" s="125"/>
      <c r="B21" s="125"/>
      <c r="C21" s="125"/>
      <c r="D21" s="125"/>
      <c r="E21" s="125"/>
      <c r="F21" s="125"/>
      <c r="G21" s="125"/>
      <c r="H21" s="125"/>
      <c r="I21" s="125"/>
      <c r="J21" s="125"/>
      <c r="K21" s="125"/>
    </row>
    <row r="22" spans="1:14" ht="15" x14ac:dyDescent="0.2">
      <c r="A22" s="125"/>
      <c r="B22" s="125"/>
      <c r="C22" s="125"/>
      <c r="D22" s="125"/>
      <c r="E22" s="125"/>
      <c r="F22" s="125"/>
      <c r="G22" s="125"/>
      <c r="H22" s="125"/>
      <c r="I22" s="125"/>
      <c r="J22" s="125"/>
      <c r="K22" s="125"/>
    </row>
    <row r="23" spans="1:14" ht="15" x14ac:dyDescent="0.2">
      <c r="A23" s="125"/>
      <c r="B23" s="125"/>
      <c r="C23" s="125"/>
      <c r="D23" s="125"/>
      <c r="E23" s="125"/>
      <c r="F23" s="125"/>
      <c r="G23" s="125"/>
      <c r="H23" s="125"/>
      <c r="I23" s="125"/>
      <c r="J23" s="125"/>
      <c r="K23" s="125"/>
    </row>
    <row r="24" spans="1:14" ht="15" x14ac:dyDescent="0.2">
      <c r="A24" s="127"/>
      <c r="B24" s="125"/>
      <c r="C24" s="125"/>
      <c r="D24" s="125"/>
      <c r="E24" s="125"/>
      <c r="F24" s="125"/>
      <c r="G24" s="125"/>
      <c r="H24" s="125"/>
      <c r="I24" s="125"/>
      <c r="J24" s="125"/>
      <c r="K24" s="125"/>
    </row>
    <row r="25" spans="1:14" ht="15" x14ac:dyDescent="0.2">
      <c r="A25" s="125"/>
      <c r="B25" s="125"/>
      <c r="C25" s="125"/>
      <c r="D25" s="125"/>
      <c r="E25" s="125"/>
      <c r="F25" s="125"/>
      <c r="G25" s="125"/>
      <c r="H25" s="125"/>
      <c r="I25" s="125"/>
      <c r="J25" s="125"/>
      <c r="K25" s="125"/>
    </row>
    <row r="26" spans="1:14" ht="15" x14ac:dyDescent="0.2">
      <c r="A26" s="125"/>
      <c r="B26" s="125"/>
      <c r="C26" s="125"/>
      <c r="D26" s="125"/>
      <c r="E26" s="125"/>
      <c r="F26" s="125"/>
      <c r="G26" s="125"/>
      <c r="H26" s="125"/>
      <c r="I26" s="125"/>
      <c r="J26" s="125"/>
      <c r="K26" s="125"/>
    </row>
    <row r="31" spans="1:14" x14ac:dyDescent="0.2">
      <c r="E31" s="94"/>
    </row>
  </sheetData>
  <mergeCells count="2">
    <mergeCell ref="D8:F8"/>
    <mergeCell ref="G8:I8"/>
  </mergeCells>
  <pageMargins left="0.74803149606299213" right="0.74803149606299213" top="0.98425196850393704" bottom="0.98425196850393704" header="0.51181102362204722" footer="0.51181102362204722"/>
  <pageSetup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80" zoomScaleNormal="80" zoomScalePageLayoutView="90" workbookViewId="0">
      <selection activeCell="M7" sqref="M7"/>
    </sheetView>
  </sheetViews>
  <sheetFormatPr defaultColWidth="8.85546875" defaultRowHeight="12.75" x14ac:dyDescent="0.2"/>
  <cols>
    <col min="1" max="1" width="15" customWidth="1"/>
    <col min="2" max="4" width="24.42578125" customWidth="1"/>
    <col min="5" max="5" width="22.140625" customWidth="1"/>
    <col min="10" max="10" width="18" customWidth="1"/>
    <col min="12" max="12" width="12.85546875" customWidth="1"/>
    <col min="13" max="13" width="12.140625" customWidth="1"/>
  </cols>
  <sheetData>
    <row r="1" spans="1:14" s="30" customFormat="1" ht="15.75" thickBot="1" x14ac:dyDescent="0.25">
      <c r="A1" s="96"/>
      <c r="B1" s="96"/>
      <c r="C1" s="96"/>
      <c r="D1" s="96"/>
      <c r="E1" s="96"/>
      <c r="F1" s="96"/>
      <c r="G1" s="96"/>
      <c r="H1" s="96"/>
      <c r="I1" s="96"/>
      <c r="J1" s="96"/>
      <c r="K1" s="96"/>
    </row>
    <row r="2" spans="1:14" s="30" customFormat="1" ht="16.5" thickBot="1" x14ac:dyDescent="0.3">
      <c r="A2" s="97" t="s">
        <v>24</v>
      </c>
      <c r="B2" s="98"/>
      <c r="E2" s="96"/>
      <c r="F2" s="96"/>
      <c r="G2" s="96"/>
      <c r="H2" s="96"/>
      <c r="I2" s="96"/>
    </row>
    <row r="3" spans="1:14" s="30" customFormat="1" ht="15.75" x14ac:dyDescent="0.25">
      <c r="A3" s="99" t="s">
        <v>28</v>
      </c>
      <c r="B3" s="100" t="s">
        <v>53</v>
      </c>
      <c r="E3" s="96"/>
      <c r="F3" s="96"/>
      <c r="G3" s="96"/>
      <c r="H3" s="96"/>
      <c r="I3" s="96"/>
    </row>
    <row r="4" spans="1:14" s="30" customFormat="1" ht="15.75" x14ac:dyDescent="0.25">
      <c r="A4" s="101" t="s">
        <v>25</v>
      </c>
      <c r="B4" s="19" t="str">
        <f>Metrics!B4</f>
        <v>Q416</v>
      </c>
      <c r="E4" s="96"/>
      <c r="F4" s="96"/>
      <c r="G4" s="96"/>
      <c r="H4" s="96"/>
      <c r="I4" s="96"/>
    </row>
    <row r="5" spans="1:14" s="30" customFormat="1" ht="16.5" thickBot="1" x14ac:dyDescent="0.3">
      <c r="A5" s="102" t="s">
        <v>29</v>
      </c>
      <c r="B5" s="103" t="s">
        <v>54</v>
      </c>
      <c r="E5" s="96"/>
      <c r="F5" s="96"/>
      <c r="G5" s="96"/>
      <c r="H5" s="96"/>
      <c r="I5" s="96"/>
    </row>
    <row r="6" spans="1:14" s="30" customFormat="1" ht="15" x14ac:dyDescent="0.2">
      <c r="A6" s="96"/>
      <c r="B6" s="96"/>
      <c r="C6" s="96"/>
      <c r="D6" s="96"/>
      <c r="E6" s="96"/>
      <c r="F6" s="96"/>
      <c r="G6" s="96"/>
      <c r="H6" s="96"/>
      <c r="I6" s="96"/>
    </row>
    <row r="7" spans="1:14" s="30" customFormat="1" ht="16.5" thickBot="1" x14ac:dyDescent="0.3">
      <c r="A7" s="104" t="s">
        <v>45</v>
      </c>
      <c r="B7" s="104"/>
      <c r="C7" s="104"/>
      <c r="D7" s="96"/>
      <c r="E7" s="96"/>
      <c r="F7" s="96"/>
      <c r="G7" s="96"/>
      <c r="H7" s="96"/>
      <c r="I7" s="96"/>
    </row>
    <row r="8" spans="1:14" s="30" customFormat="1" ht="13.5" customHeight="1" thickBot="1" x14ac:dyDescent="0.3">
      <c r="A8" s="105"/>
      <c r="B8" s="106"/>
      <c r="C8" s="107"/>
      <c r="D8" s="289" t="s">
        <v>6</v>
      </c>
      <c r="E8" s="290"/>
      <c r="F8" s="291"/>
      <c r="G8" s="290" t="s">
        <v>7</v>
      </c>
      <c r="H8" s="290"/>
      <c r="I8" s="291"/>
    </row>
    <row r="9" spans="1:14" s="30" customFormat="1" ht="32.25" thickBot="1" x14ac:dyDescent="0.3">
      <c r="A9" s="108" t="s">
        <v>22</v>
      </c>
      <c r="B9" s="109" t="s">
        <v>41</v>
      </c>
      <c r="C9" s="109" t="s">
        <v>71</v>
      </c>
      <c r="D9" s="110" t="s">
        <v>5</v>
      </c>
      <c r="E9" s="111" t="s">
        <v>8</v>
      </c>
      <c r="F9" s="112" t="s">
        <v>9</v>
      </c>
      <c r="G9" s="113" t="s">
        <v>5</v>
      </c>
      <c r="H9" s="111" t="s">
        <v>8</v>
      </c>
      <c r="I9" s="114" t="s">
        <v>9</v>
      </c>
    </row>
    <row r="10" spans="1:14" s="30" customFormat="1" ht="31.5" x14ac:dyDescent="0.25">
      <c r="A10" s="115" t="s">
        <v>53</v>
      </c>
      <c r="B10" s="116" t="s">
        <v>107</v>
      </c>
      <c r="C10" s="117" t="s">
        <v>170</v>
      </c>
      <c r="D10" s="144">
        <v>3.8</v>
      </c>
      <c r="E10" s="144">
        <v>3.8</v>
      </c>
      <c r="F10" s="144">
        <v>3.8</v>
      </c>
      <c r="G10" s="165"/>
      <c r="H10" s="166"/>
      <c r="I10" s="167"/>
      <c r="J10" s="128"/>
      <c r="K10" s="141"/>
      <c r="L10" s="70">
        <f>SUM(D10:F10)</f>
        <v>11.399999999999999</v>
      </c>
      <c r="M10" s="70">
        <f>SUM(G10:I10)</f>
        <v>0</v>
      </c>
    </row>
    <row r="11" spans="1:14" s="30" customFormat="1" ht="63" x14ac:dyDescent="0.25">
      <c r="A11" s="118" t="s">
        <v>53</v>
      </c>
      <c r="B11" s="119" t="s">
        <v>108</v>
      </c>
      <c r="C11" s="120" t="s">
        <v>129</v>
      </c>
      <c r="D11" s="145">
        <v>4.13</v>
      </c>
      <c r="E11" s="145">
        <v>4.13</v>
      </c>
      <c r="F11" s="145">
        <v>4.13</v>
      </c>
      <c r="G11" s="168"/>
      <c r="H11" s="168"/>
      <c r="I11" s="168"/>
      <c r="J11" s="128"/>
      <c r="L11" s="70">
        <f>SUM(D11:F11)</f>
        <v>12.39</v>
      </c>
      <c r="M11" s="70">
        <f>SUM(G11:I11)</f>
        <v>0</v>
      </c>
    </row>
    <row r="12" spans="1:14" s="30" customFormat="1" ht="63" x14ac:dyDescent="0.25">
      <c r="A12" s="118" t="s">
        <v>53</v>
      </c>
      <c r="B12" s="119" t="s">
        <v>49</v>
      </c>
      <c r="C12" s="120" t="s">
        <v>184</v>
      </c>
      <c r="D12" s="146">
        <v>3.8</v>
      </c>
      <c r="E12" s="146">
        <v>3.8</v>
      </c>
      <c r="F12" s="146">
        <v>3.8</v>
      </c>
      <c r="G12" s="169"/>
      <c r="H12" s="169"/>
      <c r="I12" s="169"/>
      <c r="J12" s="94"/>
      <c r="L12" s="70">
        <f>SUM(D12:F12)</f>
        <v>11.399999999999999</v>
      </c>
      <c r="M12" s="70">
        <f>SUM(G12:I12)</f>
        <v>0</v>
      </c>
    </row>
    <row r="13" spans="1:14" s="30" customFormat="1" ht="15.75" x14ac:dyDescent="0.25">
      <c r="A13" s="118" t="s">
        <v>53</v>
      </c>
      <c r="B13" s="119" t="s">
        <v>109</v>
      </c>
      <c r="C13" s="120" t="s">
        <v>183</v>
      </c>
      <c r="D13" s="146">
        <v>0.85</v>
      </c>
      <c r="E13" s="146">
        <v>0.85</v>
      </c>
      <c r="F13" s="146">
        <v>0.85</v>
      </c>
      <c r="G13" s="169"/>
      <c r="H13" s="170"/>
      <c r="I13" s="171"/>
      <c r="J13" s="129"/>
      <c r="L13" s="70">
        <f>SUM(D13:F13)</f>
        <v>2.5499999999999998</v>
      </c>
    </row>
    <row r="14" spans="1:14" s="30" customFormat="1" ht="15.75" x14ac:dyDescent="0.25">
      <c r="A14" s="118" t="s">
        <v>53</v>
      </c>
      <c r="B14" s="119" t="s">
        <v>52</v>
      </c>
      <c r="C14" s="120" t="s">
        <v>72</v>
      </c>
      <c r="D14" s="146">
        <v>0.2</v>
      </c>
      <c r="E14" s="146">
        <v>0.2</v>
      </c>
      <c r="F14" s="146">
        <v>0.2</v>
      </c>
      <c r="G14" s="169"/>
      <c r="H14" s="169"/>
      <c r="I14" s="169"/>
      <c r="J14" s="129"/>
      <c r="L14" s="70">
        <f t="shared" ref="L14:L15" si="0">SUM(D14:F14)</f>
        <v>0.60000000000000009</v>
      </c>
      <c r="M14" s="70">
        <f>SUM(G14:I14)</f>
        <v>0</v>
      </c>
    </row>
    <row r="15" spans="1:14" s="30" customFormat="1" ht="16.5" thickBot="1" x14ac:dyDescent="0.3">
      <c r="A15" s="118" t="s">
        <v>53</v>
      </c>
      <c r="B15" s="119" t="s">
        <v>61</v>
      </c>
      <c r="C15" s="120" t="s">
        <v>112</v>
      </c>
      <c r="D15" s="147">
        <v>2.8</v>
      </c>
      <c r="E15" s="147">
        <v>2.8</v>
      </c>
      <c r="F15" s="147">
        <v>2.8</v>
      </c>
      <c r="G15" s="173"/>
      <c r="H15" s="173"/>
      <c r="I15" s="173"/>
      <c r="J15" s="129"/>
      <c r="L15" s="70">
        <f t="shared" si="0"/>
        <v>8.3999999999999986</v>
      </c>
      <c r="M15" s="70">
        <f>SUM(G15:I15)</f>
        <v>0</v>
      </c>
    </row>
    <row r="16" spans="1:14" s="30" customFormat="1" ht="16.5" thickBot="1" x14ac:dyDescent="0.3">
      <c r="A16" s="121" t="s">
        <v>23</v>
      </c>
      <c r="B16" s="122"/>
      <c r="C16" s="123"/>
      <c r="D16" s="124">
        <f t="shared" ref="D16:I16" si="1">SUM(D10:D15)</f>
        <v>15.579999999999998</v>
      </c>
      <c r="E16" s="124">
        <f t="shared" si="1"/>
        <v>15.579999999999998</v>
      </c>
      <c r="F16" s="124">
        <f t="shared" si="1"/>
        <v>15.579999999999998</v>
      </c>
      <c r="G16" s="124">
        <f t="shared" si="1"/>
        <v>0</v>
      </c>
      <c r="H16" s="124">
        <f t="shared" si="1"/>
        <v>0</v>
      </c>
      <c r="I16" s="124">
        <f t="shared" si="1"/>
        <v>0</v>
      </c>
      <c r="N16" s="70"/>
    </row>
    <row r="17" spans="1:11" ht="15" x14ac:dyDescent="0.2">
      <c r="A17" s="125"/>
      <c r="B17" s="125"/>
      <c r="C17" s="125"/>
      <c r="D17" s="125"/>
      <c r="E17" s="125"/>
      <c r="F17" s="126"/>
      <c r="G17" s="125"/>
      <c r="H17" s="125"/>
      <c r="I17" s="125"/>
      <c r="J17" s="125"/>
      <c r="K17" s="125"/>
    </row>
    <row r="18" spans="1:11" ht="15" x14ac:dyDescent="0.2">
      <c r="A18" s="125"/>
      <c r="B18" s="125"/>
      <c r="C18" s="125"/>
      <c r="D18" s="125"/>
      <c r="E18" s="125"/>
      <c r="F18" s="125"/>
      <c r="G18" s="125"/>
      <c r="H18" s="126"/>
      <c r="I18" s="125"/>
      <c r="J18" s="125"/>
      <c r="K18" s="125"/>
    </row>
    <row r="19" spans="1:11" ht="15" x14ac:dyDescent="0.2">
      <c r="A19" s="125"/>
      <c r="B19" s="125"/>
      <c r="C19" s="125"/>
      <c r="D19" s="125"/>
      <c r="E19" s="125"/>
      <c r="F19" s="125"/>
      <c r="G19" s="125"/>
      <c r="H19" s="125"/>
      <c r="I19" s="125"/>
      <c r="J19" s="125"/>
      <c r="K19" s="125"/>
    </row>
    <row r="20" spans="1:11" ht="15" x14ac:dyDescent="0.2">
      <c r="A20" s="125"/>
      <c r="B20" s="125"/>
      <c r="C20" s="125"/>
      <c r="D20" s="125"/>
      <c r="E20" s="125"/>
      <c r="F20" s="125"/>
      <c r="G20" s="125"/>
      <c r="H20" s="125"/>
      <c r="I20" s="125"/>
      <c r="J20" s="125"/>
      <c r="K20" s="125"/>
    </row>
    <row r="21" spans="1:11" ht="15" x14ac:dyDescent="0.2">
      <c r="A21" s="125"/>
      <c r="B21" s="125"/>
      <c r="C21" s="125"/>
      <c r="D21" s="125"/>
      <c r="E21" s="125"/>
      <c r="F21" s="125"/>
      <c r="G21" s="125"/>
      <c r="H21" s="125"/>
      <c r="I21" s="125"/>
      <c r="J21" s="125"/>
      <c r="K21" s="125"/>
    </row>
    <row r="22" spans="1:11" ht="15" x14ac:dyDescent="0.2">
      <c r="A22" s="127"/>
      <c r="B22" s="125"/>
      <c r="C22" s="125"/>
      <c r="D22" s="125"/>
      <c r="E22" s="125"/>
      <c r="F22" s="125"/>
      <c r="G22" s="125"/>
      <c r="H22" s="125"/>
      <c r="I22" s="125"/>
      <c r="J22" s="125"/>
      <c r="K22" s="125"/>
    </row>
    <row r="23" spans="1:11" ht="15" x14ac:dyDescent="0.2">
      <c r="A23" s="125" t="s">
        <v>186</v>
      </c>
      <c r="B23" s="125"/>
      <c r="C23" s="125"/>
      <c r="D23" s="125"/>
      <c r="E23" s="125"/>
      <c r="F23" s="125"/>
      <c r="G23" s="125"/>
      <c r="H23" s="125"/>
      <c r="I23" s="125"/>
      <c r="J23" s="125"/>
      <c r="K23" s="125"/>
    </row>
    <row r="24" spans="1:11" ht="15" x14ac:dyDescent="0.2">
      <c r="A24" s="125" t="s">
        <v>185</v>
      </c>
      <c r="B24" s="125"/>
      <c r="C24" s="125"/>
      <c r="D24" s="125"/>
      <c r="E24" s="125"/>
      <c r="F24" s="125"/>
      <c r="G24" s="125"/>
      <c r="H24" s="125"/>
      <c r="I24" s="125"/>
      <c r="J24" s="125"/>
      <c r="K24" s="125"/>
    </row>
    <row r="28" spans="1:11" x14ac:dyDescent="0.2">
      <c r="E28" s="94"/>
    </row>
  </sheetData>
  <mergeCells count="2">
    <mergeCell ref="D8:F8"/>
    <mergeCell ref="G8:I8"/>
  </mergeCells>
  <pageMargins left="0.74803149606299213" right="0.74803149606299213" top="0.98425196850393704" bottom="0.98425196850393704" header="0.51181102362204722" footer="0.51181102362204722"/>
  <pageSetup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zoomScale="80" zoomScaleNormal="80" zoomScalePageLayoutView="90" workbookViewId="0">
      <selection activeCell="H27" sqref="H27"/>
    </sheetView>
  </sheetViews>
  <sheetFormatPr defaultColWidth="8.85546875" defaultRowHeight="12.75" x14ac:dyDescent="0.2"/>
  <cols>
    <col min="1" max="1" width="15" customWidth="1"/>
    <col min="2" max="3" width="24.42578125" customWidth="1"/>
    <col min="4" max="4" width="17.5703125" customWidth="1"/>
    <col min="5" max="5" width="13.140625" customWidth="1"/>
    <col min="6" max="6" width="11.42578125" customWidth="1"/>
    <col min="7" max="7" width="12.5703125" customWidth="1"/>
    <col min="8" max="8" width="11" customWidth="1"/>
    <col min="9" max="9" width="11.140625" customWidth="1"/>
    <col min="10" max="10" width="18" customWidth="1"/>
    <col min="12" max="12" width="12.85546875" customWidth="1"/>
    <col min="13" max="13" width="12.140625" customWidth="1"/>
  </cols>
  <sheetData>
    <row r="1" spans="1:14" s="30" customFormat="1" ht="15.75" thickBot="1" x14ac:dyDescent="0.25">
      <c r="A1" s="96"/>
      <c r="B1" s="96"/>
      <c r="C1" s="96"/>
      <c r="D1" s="96"/>
      <c r="E1" s="96"/>
      <c r="F1" s="96"/>
      <c r="G1" s="96"/>
      <c r="H1" s="96"/>
      <c r="I1" s="96"/>
      <c r="J1" s="96"/>
      <c r="K1" s="96"/>
    </row>
    <row r="2" spans="1:14" s="30" customFormat="1" ht="16.5" thickBot="1" x14ac:dyDescent="0.3">
      <c r="A2" s="97" t="s">
        <v>24</v>
      </c>
      <c r="B2" s="98"/>
      <c r="E2" s="96"/>
      <c r="F2" s="96"/>
      <c r="G2" s="96"/>
      <c r="H2" s="96"/>
      <c r="I2" s="96"/>
    </row>
    <row r="3" spans="1:14" s="30" customFormat="1" ht="15.75" x14ac:dyDescent="0.25">
      <c r="A3" s="99" t="s">
        <v>28</v>
      </c>
      <c r="B3" s="100" t="s">
        <v>53</v>
      </c>
      <c r="E3" s="96"/>
      <c r="F3" s="96"/>
      <c r="G3" s="96"/>
      <c r="H3" s="96"/>
      <c r="I3" s="96"/>
    </row>
    <row r="4" spans="1:14" s="30" customFormat="1" ht="15.75" x14ac:dyDescent="0.25">
      <c r="A4" s="101" t="s">
        <v>25</v>
      </c>
      <c r="B4" s="19" t="str">
        <f>Metrics!B4</f>
        <v>Q416</v>
      </c>
      <c r="E4" s="96"/>
      <c r="F4" s="96"/>
      <c r="G4" s="96"/>
      <c r="H4" s="96"/>
      <c r="I4" s="96"/>
    </row>
    <row r="5" spans="1:14" s="30" customFormat="1" ht="16.5" thickBot="1" x14ac:dyDescent="0.3">
      <c r="A5" s="102" t="s">
        <v>29</v>
      </c>
      <c r="B5" s="103" t="s">
        <v>54</v>
      </c>
      <c r="E5" s="96"/>
      <c r="F5" s="96"/>
      <c r="G5" s="96"/>
      <c r="H5" s="96"/>
      <c r="I5" s="96"/>
    </row>
    <row r="6" spans="1:14" s="30" customFormat="1" ht="15" x14ac:dyDescent="0.2">
      <c r="A6" s="96"/>
      <c r="B6" s="96"/>
      <c r="C6" s="96"/>
      <c r="D6" s="96"/>
      <c r="E6" s="96"/>
      <c r="F6" s="96"/>
      <c r="G6" s="96"/>
      <c r="H6" s="96"/>
      <c r="I6" s="96"/>
    </row>
    <row r="7" spans="1:14" s="30" customFormat="1" ht="16.5" thickBot="1" x14ac:dyDescent="0.3">
      <c r="A7" s="104" t="s">
        <v>45</v>
      </c>
      <c r="B7" s="104"/>
      <c r="C7" s="104"/>
      <c r="D7" s="96"/>
      <c r="E7" s="96"/>
      <c r="F7" s="96"/>
      <c r="G7" s="96"/>
      <c r="H7" s="96"/>
      <c r="I7" s="96"/>
    </row>
    <row r="8" spans="1:14" s="30" customFormat="1" ht="13.5" customHeight="1" thickBot="1" x14ac:dyDescent="0.3">
      <c r="A8" s="105"/>
      <c r="B8" s="106"/>
      <c r="C8" s="107"/>
      <c r="D8" s="289" t="s">
        <v>6</v>
      </c>
      <c r="E8" s="290"/>
      <c r="F8" s="291"/>
      <c r="G8" s="290" t="s">
        <v>7</v>
      </c>
      <c r="H8" s="290"/>
      <c r="I8" s="291"/>
    </row>
    <row r="9" spans="1:14" s="30" customFormat="1" ht="32.25" thickBot="1" x14ac:dyDescent="0.3">
      <c r="A9" s="108" t="s">
        <v>22</v>
      </c>
      <c r="B9" s="109" t="s">
        <v>41</v>
      </c>
      <c r="C9" s="109" t="s">
        <v>71</v>
      </c>
      <c r="D9" s="110" t="s">
        <v>5</v>
      </c>
      <c r="E9" s="111" t="s">
        <v>8</v>
      </c>
      <c r="F9" s="112" t="s">
        <v>9</v>
      </c>
      <c r="G9" s="113" t="s">
        <v>5</v>
      </c>
      <c r="H9" s="111" t="s">
        <v>8</v>
      </c>
      <c r="I9" s="114" t="s">
        <v>9</v>
      </c>
    </row>
    <row r="10" spans="1:14" s="30" customFormat="1" ht="47.25" x14ac:dyDescent="0.25">
      <c r="A10" s="115" t="s">
        <v>53</v>
      </c>
      <c r="B10" s="116" t="s">
        <v>107</v>
      </c>
      <c r="C10" s="117" t="s">
        <v>299</v>
      </c>
      <c r="D10" s="144">
        <v>4.5</v>
      </c>
      <c r="E10" s="144">
        <v>4.5</v>
      </c>
      <c r="F10" s="144">
        <v>5.9</v>
      </c>
      <c r="G10" s="165"/>
      <c r="H10" s="166"/>
      <c r="I10" s="167"/>
      <c r="J10" s="128"/>
      <c r="K10" s="141"/>
      <c r="L10" s="70">
        <f>SUM(D10:F10)</f>
        <v>14.9</v>
      </c>
      <c r="M10" s="70">
        <f t="shared" ref="M10:M15" si="0">SUM(G10:I10)</f>
        <v>0</v>
      </c>
    </row>
    <row r="11" spans="1:14" s="30" customFormat="1" ht="63" x14ac:dyDescent="0.25">
      <c r="A11" s="118" t="s">
        <v>53</v>
      </c>
      <c r="B11" s="119" t="s">
        <v>108</v>
      </c>
      <c r="C11" s="120" t="s">
        <v>129</v>
      </c>
      <c r="D11" s="145">
        <v>4.6297297297297302</v>
      </c>
      <c r="E11" s="145">
        <v>4.07</v>
      </c>
      <c r="F11" s="145">
        <v>4.07</v>
      </c>
      <c r="G11" s="168"/>
      <c r="H11" s="168"/>
      <c r="I11" s="168"/>
      <c r="J11" s="128"/>
      <c r="L11" s="70">
        <f>SUM(D11:F11)</f>
        <v>12.769729729729731</v>
      </c>
      <c r="M11" s="70">
        <f t="shared" si="0"/>
        <v>0</v>
      </c>
    </row>
    <row r="12" spans="1:14" s="30" customFormat="1" ht="63" x14ac:dyDescent="0.25">
      <c r="A12" s="118" t="s">
        <v>53</v>
      </c>
      <c r="B12" s="119" t="s">
        <v>49</v>
      </c>
      <c r="C12" s="120" t="s">
        <v>184</v>
      </c>
      <c r="D12" s="146">
        <v>4.4000000000000004</v>
      </c>
      <c r="E12" s="146">
        <v>4.4000000000000004</v>
      </c>
      <c r="F12" s="146">
        <v>4.4000000000000004</v>
      </c>
      <c r="G12" s="169"/>
      <c r="H12" s="169"/>
      <c r="I12" s="169"/>
      <c r="J12" s="94"/>
      <c r="L12" s="70">
        <f>SUM(D12:F12)</f>
        <v>13.200000000000001</v>
      </c>
      <c r="M12" s="70">
        <f t="shared" si="0"/>
        <v>0</v>
      </c>
    </row>
    <row r="13" spans="1:14" s="30" customFormat="1" ht="31.5" x14ac:dyDescent="0.25">
      <c r="A13" s="118" t="s">
        <v>53</v>
      </c>
      <c r="B13" s="119" t="s">
        <v>109</v>
      </c>
      <c r="C13" s="120" t="s">
        <v>298</v>
      </c>
      <c r="D13" s="146">
        <v>0.85</v>
      </c>
      <c r="E13" s="146">
        <v>1.35</v>
      </c>
      <c r="F13" s="146">
        <v>1.35</v>
      </c>
      <c r="G13" s="169"/>
      <c r="H13" s="170"/>
      <c r="I13" s="171"/>
      <c r="J13" s="129"/>
      <c r="L13" s="70">
        <f>SUM(D13:F13)</f>
        <v>3.5500000000000003</v>
      </c>
      <c r="M13" s="70">
        <f t="shared" si="0"/>
        <v>0</v>
      </c>
    </row>
    <row r="14" spans="1:14" s="30" customFormat="1" ht="15.75" x14ac:dyDescent="0.25">
      <c r="A14" s="118" t="s">
        <v>53</v>
      </c>
      <c r="B14" s="119" t="s">
        <v>52</v>
      </c>
      <c r="C14" s="120" t="s">
        <v>72</v>
      </c>
      <c r="D14" s="146">
        <v>0.2</v>
      </c>
      <c r="E14" s="146">
        <v>0.2</v>
      </c>
      <c r="F14" s="146">
        <v>0.2</v>
      </c>
      <c r="G14" s="169"/>
      <c r="H14" s="169"/>
      <c r="I14" s="169"/>
      <c r="J14" s="129"/>
      <c r="L14" s="70">
        <f t="shared" ref="L14:L15" si="1">SUM(D14:F14)</f>
        <v>0.60000000000000009</v>
      </c>
      <c r="M14" s="70">
        <f t="shared" si="0"/>
        <v>0</v>
      </c>
    </row>
    <row r="15" spans="1:14" s="30" customFormat="1" ht="16.5" thickBot="1" x14ac:dyDescent="0.3">
      <c r="A15" s="118" t="s">
        <v>53</v>
      </c>
      <c r="B15" s="119" t="s">
        <v>61</v>
      </c>
      <c r="C15" s="120" t="s">
        <v>112</v>
      </c>
      <c r="D15" s="147">
        <v>2.8</v>
      </c>
      <c r="E15" s="147">
        <v>2.8</v>
      </c>
      <c r="F15" s="147">
        <v>2.2054054054054055</v>
      </c>
      <c r="G15" s="173"/>
      <c r="H15" s="173"/>
      <c r="I15" s="173"/>
      <c r="J15" s="129"/>
      <c r="L15" s="70">
        <f t="shared" si="1"/>
        <v>7.8054054054054056</v>
      </c>
      <c r="M15" s="70">
        <f t="shared" si="0"/>
        <v>0</v>
      </c>
    </row>
    <row r="16" spans="1:14" s="30" customFormat="1" ht="16.5" thickBot="1" x14ac:dyDescent="0.3">
      <c r="A16" s="121" t="s">
        <v>23</v>
      </c>
      <c r="B16" s="122"/>
      <c r="C16" s="123"/>
      <c r="D16" s="124">
        <f t="shared" ref="D16:I16" si="2">SUM(D10:D15)</f>
        <v>17.379729729729728</v>
      </c>
      <c r="E16" s="124">
        <f t="shared" si="2"/>
        <v>17.32</v>
      </c>
      <c r="F16" s="124">
        <f t="shared" si="2"/>
        <v>18.125405405405406</v>
      </c>
      <c r="G16" s="124">
        <f t="shared" si="2"/>
        <v>0</v>
      </c>
      <c r="H16" s="124">
        <f t="shared" si="2"/>
        <v>0</v>
      </c>
      <c r="I16" s="124">
        <f t="shared" si="2"/>
        <v>0</v>
      </c>
      <c r="N16" s="70"/>
    </row>
    <row r="17" spans="1:14" ht="15" x14ac:dyDescent="0.2">
      <c r="A17" s="125"/>
      <c r="B17" s="125"/>
      <c r="C17" s="125"/>
      <c r="D17" s="125"/>
      <c r="E17" s="125"/>
      <c r="F17" s="126"/>
      <c r="G17" s="125"/>
      <c r="H17" s="125"/>
      <c r="I17" s="125"/>
      <c r="J17" s="125"/>
      <c r="K17" s="125"/>
    </row>
    <row r="18" spans="1:14" ht="15.75" thickBot="1" x14ac:dyDescent="0.25">
      <c r="A18" s="125"/>
      <c r="B18" s="125"/>
      <c r="C18" s="125"/>
      <c r="D18" s="125"/>
      <c r="E18" s="125"/>
      <c r="F18" s="125"/>
      <c r="G18" s="125"/>
      <c r="H18" s="126"/>
      <c r="I18" s="125"/>
      <c r="J18" s="125"/>
      <c r="K18" s="125"/>
    </row>
    <row r="19" spans="1:14" s="30" customFormat="1" ht="13.5" customHeight="1" thickBot="1" x14ac:dyDescent="0.3">
      <c r="A19" s="105"/>
      <c r="B19" s="106"/>
      <c r="C19" s="107"/>
      <c r="D19" s="289" t="s">
        <v>6</v>
      </c>
      <c r="E19" s="290"/>
      <c r="F19" s="291"/>
      <c r="G19" s="290" t="s">
        <v>7</v>
      </c>
      <c r="H19" s="290"/>
      <c r="I19" s="291"/>
    </row>
    <row r="20" spans="1:14" s="30" customFormat="1" ht="32.25" thickBot="1" x14ac:dyDescent="0.3">
      <c r="A20" s="108" t="s">
        <v>22</v>
      </c>
      <c r="B20" s="109" t="s">
        <v>41</v>
      </c>
      <c r="C20" s="109" t="s">
        <v>71</v>
      </c>
      <c r="D20" s="110" t="s">
        <v>5</v>
      </c>
      <c r="E20" s="111" t="s">
        <v>8</v>
      </c>
      <c r="F20" s="112" t="s">
        <v>9</v>
      </c>
      <c r="G20" s="113" t="s">
        <v>5</v>
      </c>
      <c r="H20" s="111" t="s">
        <v>8</v>
      </c>
      <c r="I20" s="114" t="s">
        <v>9</v>
      </c>
    </row>
    <row r="21" spans="1:14" s="30" customFormat="1" ht="15.75" x14ac:dyDescent="0.25">
      <c r="A21" s="115" t="s">
        <v>53</v>
      </c>
      <c r="B21" s="116" t="s">
        <v>273</v>
      </c>
      <c r="C21" s="117"/>
      <c r="D21" s="144">
        <v>0.7</v>
      </c>
      <c r="E21" s="144">
        <v>0.7</v>
      </c>
      <c r="F21" s="144">
        <v>0.7</v>
      </c>
      <c r="G21" s="165"/>
      <c r="H21" s="166"/>
      <c r="I21" s="167"/>
      <c r="J21" s="128"/>
      <c r="K21" s="141"/>
      <c r="L21" s="70">
        <f>SUM(D21:F21)</f>
        <v>2.0999999999999996</v>
      </c>
      <c r="M21" s="70">
        <f>SUM(G21:I21)</f>
        <v>0</v>
      </c>
    </row>
    <row r="22" spans="1:14" s="30" customFormat="1" ht="16.5" thickBot="1" x14ac:dyDescent="0.3">
      <c r="A22" s="118" t="s">
        <v>53</v>
      </c>
      <c r="B22" s="119" t="s">
        <v>274</v>
      </c>
      <c r="C22" s="120"/>
      <c r="D22" s="145">
        <v>0.28999999999999998</v>
      </c>
      <c r="E22" s="145">
        <v>0.28999999999999998</v>
      </c>
      <c r="F22" s="145">
        <v>0.27800000000000002</v>
      </c>
      <c r="G22" s="168"/>
      <c r="H22" s="168"/>
      <c r="I22" s="168"/>
      <c r="J22" s="128"/>
      <c r="L22" s="70">
        <f>SUM(D22:F22)</f>
        <v>0.85799999999999998</v>
      </c>
      <c r="M22" s="70">
        <f>SUM(G22:I22)</f>
        <v>0</v>
      </c>
    </row>
    <row r="23" spans="1:14" s="30" customFormat="1" ht="16.5" thickBot="1" x14ac:dyDescent="0.3">
      <c r="A23" s="121" t="s">
        <v>23</v>
      </c>
      <c r="B23" s="122"/>
      <c r="C23" s="123"/>
      <c r="D23" s="124">
        <f t="shared" ref="D23:I23" si="3">SUM(D21:D22)</f>
        <v>0.99</v>
      </c>
      <c r="E23" s="124">
        <f t="shared" si="3"/>
        <v>0.99</v>
      </c>
      <c r="F23" s="124">
        <f t="shared" si="3"/>
        <v>0.97799999999999998</v>
      </c>
      <c r="G23" s="124">
        <f t="shared" si="3"/>
        <v>0</v>
      </c>
      <c r="H23" s="124">
        <f t="shared" si="3"/>
        <v>0</v>
      </c>
      <c r="I23" s="124">
        <f t="shared" si="3"/>
        <v>0</v>
      </c>
    </row>
    <row r="24" spans="1:14" s="30" customFormat="1" ht="15" x14ac:dyDescent="0.2">
      <c r="A24" s="125"/>
      <c r="B24" s="125"/>
      <c r="C24" s="125"/>
      <c r="D24" s="125"/>
      <c r="E24" s="125"/>
      <c r="F24" s="125"/>
      <c r="G24" s="125"/>
      <c r="H24" s="125"/>
      <c r="I24" s="125"/>
      <c r="J24" s="125"/>
      <c r="K24" s="125"/>
      <c r="L24"/>
      <c r="M24"/>
    </row>
    <row r="25" spans="1:14" s="30" customFormat="1" ht="15" x14ac:dyDescent="0.2">
      <c r="A25" s="125"/>
      <c r="B25" s="125"/>
      <c r="C25" s="125"/>
      <c r="D25" s="125"/>
      <c r="E25" s="125"/>
      <c r="F25" s="125"/>
      <c r="G25" s="125"/>
      <c r="H25" s="125"/>
      <c r="I25" s="125"/>
      <c r="J25" s="125"/>
      <c r="K25" s="125"/>
      <c r="L25"/>
      <c r="M25"/>
    </row>
    <row r="26" spans="1:14" s="30" customFormat="1" ht="15" x14ac:dyDescent="0.2">
      <c r="A26" s="125"/>
      <c r="B26" s="125"/>
      <c r="C26" s="125"/>
      <c r="D26" s="125"/>
      <c r="E26" s="125"/>
      <c r="F26" s="125"/>
      <c r="G26" s="125"/>
      <c r="H26" s="125"/>
      <c r="I26" s="125"/>
      <c r="J26" s="125"/>
      <c r="K26" s="125"/>
      <c r="L26"/>
      <c r="M26"/>
    </row>
    <row r="27" spans="1:14" s="30" customFormat="1" ht="15" x14ac:dyDescent="0.2">
      <c r="A27" s="127"/>
      <c r="B27" s="125"/>
      <c r="C27" s="125"/>
      <c r="D27" s="125"/>
      <c r="E27" s="125"/>
      <c r="F27" s="125"/>
      <c r="G27" s="125"/>
      <c r="H27" s="125"/>
      <c r="I27" s="125"/>
      <c r="J27" s="125"/>
      <c r="K27" s="125"/>
      <c r="L27"/>
      <c r="M27"/>
      <c r="N27" s="70"/>
    </row>
    <row r="28" spans="1:14" ht="15" x14ac:dyDescent="0.2">
      <c r="A28" s="125" t="s">
        <v>186</v>
      </c>
      <c r="B28" s="125"/>
      <c r="C28" s="125"/>
      <c r="D28" s="125"/>
      <c r="E28" s="125"/>
      <c r="F28" s="125"/>
      <c r="G28" s="125"/>
      <c r="H28" s="125"/>
      <c r="I28" s="125"/>
      <c r="J28" s="125"/>
      <c r="K28" s="125"/>
    </row>
    <row r="29" spans="1:14" ht="15" x14ac:dyDescent="0.2">
      <c r="A29" s="125" t="s">
        <v>185</v>
      </c>
      <c r="B29" s="125"/>
      <c r="C29" s="125"/>
      <c r="D29" s="125"/>
      <c r="E29" s="125"/>
      <c r="F29" s="125"/>
      <c r="G29" s="125"/>
      <c r="H29" s="125"/>
      <c r="I29" s="125"/>
      <c r="J29" s="125"/>
      <c r="K29" s="125"/>
    </row>
    <row r="33" spans="5:5" x14ac:dyDescent="0.2">
      <c r="E33" s="94"/>
    </row>
  </sheetData>
  <mergeCells count="4">
    <mergeCell ref="D8:F8"/>
    <mergeCell ref="G8:I8"/>
    <mergeCell ref="D19:F19"/>
    <mergeCell ref="G19:I19"/>
  </mergeCells>
  <pageMargins left="0.74803149606299213" right="0.74803149606299213" top="0.98425196850393704" bottom="0.98425196850393704" header="0.51181102362204722" footer="0.51181102362204722"/>
  <pageSetup orientation="landscape" horizontalDpi="4294967292" verticalDpi="4294967292"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zoomScale="80" zoomScaleNormal="80" zoomScalePageLayoutView="90" workbookViewId="0">
      <selection activeCell="D16" sqref="D16:F16"/>
    </sheetView>
  </sheetViews>
  <sheetFormatPr defaultColWidth="8.85546875" defaultRowHeight="12.75" x14ac:dyDescent="0.2"/>
  <cols>
    <col min="1" max="1" width="15" customWidth="1"/>
    <col min="2" max="3" width="24.42578125" customWidth="1"/>
    <col min="4" max="4" width="17.5703125" customWidth="1"/>
    <col min="5" max="5" width="13.140625" customWidth="1"/>
    <col min="6" max="6" width="11.42578125" customWidth="1"/>
    <col min="7" max="7" width="12.5703125" customWidth="1"/>
    <col min="8" max="8" width="11" customWidth="1"/>
    <col min="9" max="9" width="11.140625" customWidth="1"/>
    <col min="10" max="10" width="18" customWidth="1"/>
    <col min="12" max="12" width="12.85546875" customWidth="1"/>
    <col min="13" max="13" width="12.140625" customWidth="1"/>
  </cols>
  <sheetData>
    <row r="1" spans="1:14" s="30" customFormat="1" ht="15.75" thickBot="1" x14ac:dyDescent="0.25">
      <c r="A1" s="96"/>
      <c r="B1" s="96"/>
      <c r="C1" s="96"/>
      <c r="D1" s="96"/>
      <c r="E1" s="96"/>
      <c r="F1" s="96"/>
      <c r="G1" s="96"/>
      <c r="H1" s="96"/>
      <c r="I1" s="96"/>
      <c r="J1" s="96"/>
      <c r="K1" s="96"/>
    </row>
    <row r="2" spans="1:14" s="30" customFormat="1" ht="16.5" thickBot="1" x14ac:dyDescent="0.3">
      <c r="A2" s="97" t="s">
        <v>24</v>
      </c>
      <c r="B2" s="98"/>
      <c r="E2" s="96"/>
      <c r="F2" s="96"/>
      <c r="G2" s="96"/>
      <c r="H2" s="96"/>
      <c r="I2" s="96"/>
    </row>
    <row r="3" spans="1:14" s="30" customFormat="1" ht="15.75" x14ac:dyDescent="0.25">
      <c r="A3" s="99" t="s">
        <v>28</v>
      </c>
      <c r="B3" s="100" t="s">
        <v>53</v>
      </c>
      <c r="E3" s="96"/>
      <c r="F3" s="96"/>
      <c r="G3" s="96"/>
      <c r="H3" s="96"/>
      <c r="I3" s="96"/>
    </row>
    <row r="4" spans="1:14" s="30" customFormat="1" ht="15.75" x14ac:dyDescent="0.25">
      <c r="A4" s="101" t="s">
        <v>25</v>
      </c>
      <c r="B4" s="19" t="str">
        <f>Metrics!B4</f>
        <v>Q416</v>
      </c>
      <c r="E4" s="96"/>
      <c r="F4" s="96"/>
      <c r="G4" s="96"/>
      <c r="H4" s="96"/>
      <c r="I4" s="96"/>
    </row>
    <row r="5" spans="1:14" s="30" customFormat="1" ht="16.5" thickBot="1" x14ac:dyDescent="0.3">
      <c r="A5" s="102" t="s">
        <v>29</v>
      </c>
      <c r="B5" s="103" t="s">
        <v>54</v>
      </c>
      <c r="E5" s="96"/>
      <c r="F5" s="96"/>
      <c r="G5" s="96"/>
      <c r="H5" s="96"/>
      <c r="I5" s="96"/>
    </row>
    <row r="6" spans="1:14" s="30" customFormat="1" ht="15" x14ac:dyDescent="0.2">
      <c r="A6" s="96"/>
      <c r="B6" s="96"/>
      <c r="C6" s="96"/>
      <c r="D6" s="96"/>
      <c r="E6" s="96"/>
      <c r="F6" s="96"/>
      <c r="G6" s="96"/>
      <c r="H6" s="96"/>
      <c r="I6" s="96"/>
    </row>
    <row r="7" spans="1:14" s="30" customFormat="1" ht="16.5" thickBot="1" x14ac:dyDescent="0.3">
      <c r="A7" s="104" t="s">
        <v>45</v>
      </c>
      <c r="B7" s="104"/>
      <c r="C7" s="104"/>
      <c r="D7" s="96"/>
      <c r="E7" s="96"/>
      <c r="F7" s="96"/>
      <c r="G7" s="96"/>
      <c r="H7" s="96"/>
      <c r="I7" s="96"/>
    </row>
    <row r="8" spans="1:14" s="30" customFormat="1" ht="13.5" customHeight="1" thickBot="1" x14ac:dyDescent="0.3">
      <c r="A8" s="105"/>
      <c r="B8" s="106"/>
      <c r="C8" s="107"/>
      <c r="D8" s="289" t="s">
        <v>6</v>
      </c>
      <c r="E8" s="290"/>
      <c r="F8" s="291"/>
      <c r="G8" s="290" t="s">
        <v>7</v>
      </c>
      <c r="H8" s="290"/>
      <c r="I8" s="291"/>
    </row>
    <row r="9" spans="1:14" s="30" customFormat="1" ht="32.25" thickBot="1" x14ac:dyDescent="0.3">
      <c r="A9" s="108" t="s">
        <v>22</v>
      </c>
      <c r="B9" s="109" t="s">
        <v>41</v>
      </c>
      <c r="C9" s="109" t="s">
        <v>71</v>
      </c>
      <c r="D9" s="110" t="s">
        <v>5</v>
      </c>
      <c r="E9" s="111" t="s">
        <v>8</v>
      </c>
      <c r="F9" s="112" t="s">
        <v>9</v>
      </c>
      <c r="G9" s="113" t="s">
        <v>5</v>
      </c>
      <c r="H9" s="111" t="s">
        <v>8</v>
      </c>
      <c r="I9" s="114" t="s">
        <v>9</v>
      </c>
    </row>
    <row r="10" spans="1:14" s="30" customFormat="1" ht="47.25" x14ac:dyDescent="0.25">
      <c r="A10" s="115" t="s">
        <v>53</v>
      </c>
      <c r="B10" s="116" t="s">
        <v>107</v>
      </c>
      <c r="C10" s="117" t="s">
        <v>299</v>
      </c>
      <c r="D10" s="144">
        <v>5.2</v>
      </c>
      <c r="E10" s="144">
        <v>4.5</v>
      </c>
      <c r="F10" s="144">
        <v>4.5</v>
      </c>
      <c r="G10" s="165"/>
      <c r="H10" s="166"/>
      <c r="I10" s="167"/>
      <c r="J10" s="128"/>
      <c r="K10" s="141"/>
      <c r="L10" s="70">
        <f>SUM(D10:F10)</f>
        <v>14.2</v>
      </c>
      <c r="M10" s="70">
        <f t="shared" ref="M10:M15" si="0">SUM(G10:I10)</f>
        <v>0</v>
      </c>
    </row>
    <row r="11" spans="1:14" s="30" customFormat="1" ht="63" x14ac:dyDescent="0.25">
      <c r="A11" s="118" t="s">
        <v>53</v>
      </c>
      <c r="B11" s="119" t="s">
        <v>108</v>
      </c>
      <c r="C11" s="120" t="s">
        <v>129</v>
      </c>
      <c r="D11" s="145">
        <v>3.07</v>
      </c>
      <c r="E11" s="145">
        <v>3.07</v>
      </c>
      <c r="F11" s="145">
        <v>3.07</v>
      </c>
      <c r="G11" s="168"/>
      <c r="H11" s="168"/>
      <c r="I11" s="168"/>
      <c r="J11" s="128"/>
      <c r="L11" s="70">
        <f>SUM(D11:F11)</f>
        <v>9.2099999999999991</v>
      </c>
      <c r="M11" s="70">
        <f t="shared" si="0"/>
        <v>0</v>
      </c>
    </row>
    <row r="12" spans="1:14" s="30" customFormat="1" ht="63" x14ac:dyDescent="0.25">
      <c r="A12" s="118" t="s">
        <v>53</v>
      </c>
      <c r="B12" s="119" t="s">
        <v>317</v>
      </c>
      <c r="C12" s="120" t="s">
        <v>184</v>
      </c>
      <c r="D12" s="146">
        <v>4.5</v>
      </c>
      <c r="E12" s="146">
        <v>4.5</v>
      </c>
      <c r="F12" s="146">
        <v>3.9</v>
      </c>
      <c r="G12" s="169"/>
      <c r="H12" s="169"/>
      <c r="I12" s="169"/>
      <c r="J12" s="94"/>
      <c r="L12" s="70">
        <f>SUM(D12:F12)</f>
        <v>12.9</v>
      </c>
      <c r="M12" s="70">
        <f t="shared" si="0"/>
        <v>0</v>
      </c>
    </row>
    <row r="13" spans="1:14" s="30" customFormat="1" ht="31.5" x14ac:dyDescent="0.25">
      <c r="A13" s="118" t="s">
        <v>53</v>
      </c>
      <c r="B13" s="119" t="s">
        <v>109</v>
      </c>
      <c r="C13" s="120" t="s">
        <v>298</v>
      </c>
      <c r="D13" s="146">
        <v>1.35</v>
      </c>
      <c r="E13" s="146">
        <v>1.35</v>
      </c>
      <c r="F13" s="146">
        <v>1.8</v>
      </c>
      <c r="G13" s="169"/>
      <c r="H13" s="170"/>
      <c r="I13" s="171"/>
      <c r="J13" s="129"/>
      <c r="L13" s="70">
        <f>SUM(D13:F13)</f>
        <v>4.5</v>
      </c>
      <c r="M13" s="70">
        <f t="shared" si="0"/>
        <v>0</v>
      </c>
    </row>
    <row r="14" spans="1:14" s="30" customFormat="1" ht="15.75" x14ac:dyDescent="0.25">
      <c r="A14" s="118" t="s">
        <v>53</v>
      </c>
      <c r="B14" s="119" t="s">
        <v>52</v>
      </c>
      <c r="C14" s="120" t="s">
        <v>72</v>
      </c>
      <c r="D14" s="146">
        <v>0.2</v>
      </c>
      <c r="E14" s="146">
        <v>0.2</v>
      </c>
      <c r="F14" s="146">
        <v>0.2</v>
      </c>
      <c r="G14" s="169"/>
      <c r="H14" s="169"/>
      <c r="I14" s="169"/>
      <c r="J14" s="129"/>
      <c r="L14" s="70">
        <f t="shared" ref="L14:L15" si="1">SUM(D14:F14)</f>
        <v>0.60000000000000009</v>
      </c>
      <c r="M14" s="70">
        <f t="shared" si="0"/>
        <v>0</v>
      </c>
    </row>
    <row r="15" spans="1:14" s="30" customFormat="1" ht="16.5" thickBot="1" x14ac:dyDescent="0.3">
      <c r="A15" s="118" t="s">
        <v>53</v>
      </c>
      <c r="B15" s="119" t="s">
        <v>61</v>
      </c>
      <c r="C15" s="120" t="s">
        <v>112</v>
      </c>
      <c r="D15" s="147">
        <v>2.0054054054054054</v>
      </c>
      <c r="E15" s="147">
        <v>2.0054054054054054</v>
      </c>
      <c r="F15" s="147">
        <v>2.0054054054054054</v>
      </c>
      <c r="G15" s="173"/>
      <c r="H15" s="173"/>
      <c r="I15" s="173"/>
      <c r="J15" s="129"/>
      <c r="L15" s="70">
        <f t="shared" si="1"/>
        <v>6.0162162162162165</v>
      </c>
      <c r="M15" s="70">
        <f t="shared" si="0"/>
        <v>0</v>
      </c>
    </row>
    <row r="16" spans="1:14" s="30" customFormat="1" ht="16.5" thickBot="1" x14ac:dyDescent="0.3">
      <c r="A16" s="121" t="s">
        <v>23</v>
      </c>
      <c r="B16" s="122"/>
      <c r="C16" s="123"/>
      <c r="D16" s="124">
        <f t="shared" ref="D16:I16" si="2">SUM(D10:D15)</f>
        <v>16.325405405405405</v>
      </c>
      <c r="E16" s="124">
        <f t="shared" si="2"/>
        <v>15.625405405405404</v>
      </c>
      <c r="F16" s="124">
        <f t="shared" si="2"/>
        <v>15.475405405405406</v>
      </c>
      <c r="G16" s="124">
        <f t="shared" si="2"/>
        <v>0</v>
      </c>
      <c r="H16" s="124">
        <f t="shared" si="2"/>
        <v>0</v>
      </c>
      <c r="I16" s="124">
        <f t="shared" si="2"/>
        <v>0</v>
      </c>
      <c r="N16" s="70"/>
    </row>
    <row r="17" spans="1:14" ht="15" x14ac:dyDescent="0.2">
      <c r="A17" s="125"/>
      <c r="B17" s="125"/>
      <c r="C17" s="125"/>
      <c r="D17" s="125"/>
      <c r="E17" s="125"/>
      <c r="F17" s="126"/>
      <c r="G17" s="125"/>
      <c r="H17" s="125"/>
      <c r="I17" s="125"/>
      <c r="J17" s="125"/>
      <c r="K17" s="125"/>
    </row>
    <row r="18" spans="1:14" ht="15.75" thickBot="1" x14ac:dyDescent="0.25">
      <c r="A18" s="125"/>
      <c r="B18" s="125"/>
      <c r="C18" s="125"/>
      <c r="D18" s="125"/>
      <c r="E18" s="125"/>
      <c r="F18" s="125"/>
      <c r="G18" s="125"/>
      <c r="H18" s="126"/>
      <c r="I18" s="125"/>
      <c r="J18" s="125"/>
      <c r="K18" s="125"/>
    </row>
    <row r="19" spans="1:14" s="30" customFormat="1" ht="13.5" customHeight="1" thickBot="1" x14ac:dyDescent="0.3">
      <c r="A19" s="105"/>
      <c r="B19" s="106"/>
      <c r="C19" s="107"/>
      <c r="D19" s="289" t="s">
        <v>6</v>
      </c>
      <c r="E19" s="290"/>
      <c r="F19" s="291"/>
      <c r="G19" s="290" t="s">
        <v>7</v>
      </c>
      <c r="H19" s="290"/>
      <c r="I19" s="291"/>
    </row>
    <row r="20" spans="1:14" s="30" customFormat="1" ht="32.25" thickBot="1" x14ac:dyDescent="0.3">
      <c r="A20" s="108" t="s">
        <v>22</v>
      </c>
      <c r="B20" s="109" t="s">
        <v>41</v>
      </c>
      <c r="C20" s="109" t="s">
        <v>71</v>
      </c>
      <c r="D20" s="110" t="s">
        <v>5</v>
      </c>
      <c r="E20" s="111" t="s">
        <v>8</v>
      </c>
      <c r="F20" s="112" t="s">
        <v>9</v>
      </c>
      <c r="G20" s="113" t="s">
        <v>5</v>
      </c>
      <c r="H20" s="111" t="s">
        <v>8</v>
      </c>
      <c r="I20" s="114" t="s">
        <v>9</v>
      </c>
    </row>
    <row r="21" spans="1:14" s="30" customFormat="1" ht="15.75" x14ac:dyDescent="0.25">
      <c r="A21" s="115" t="s">
        <v>53</v>
      </c>
      <c r="B21" s="116" t="s">
        <v>273</v>
      </c>
      <c r="C21" s="117" t="s">
        <v>319</v>
      </c>
      <c r="D21" s="144">
        <v>0.38</v>
      </c>
      <c r="E21" s="144">
        <v>0</v>
      </c>
      <c r="F21" s="144">
        <v>0.28000000000000003</v>
      </c>
      <c r="G21" s="165"/>
      <c r="H21" s="166"/>
      <c r="I21" s="167"/>
      <c r="J21" s="128"/>
      <c r="K21" s="141"/>
      <c r="L21" s="70">
        <f>SUM(D21:F21)</f>
        <v>0.66</v>
      </c>
      <c r="M21" s="70">
        <f>SUM(G21:I21)</f>
        <v>0</v>
      </c>
    </row>
    <row r="22" spans="1:14" s="30" customFormat="1" ht="16.5" thickBot="1" x14ac:dyDescent="0.3">
      <c r="A22" s="118" t="s">
        <v>53</v>
      </c>
      <c r="B22" s="119" t="s">
        <v>274</v>
      </c>
      <c r="C22" s="120" t="s">
        <v>318</v>
      </c>
      <c r="D22" s="145">
        <v>0.28999999999999998</v>
      </c>
      <c r="E22" s="145">
        <v>0.28999999999999998</v>
      </c>
      <c r="F22" s="145">
        <v>0.27800000000000002</v>
      </c>
      <c r="G22" s="168"/>
      <c r="H22" s="168"/>
      <c r="I22" s="168"/>
      <c r="J22" s="128"/>
      <c r="L22" s="70">
        <f>SUM(D22:F22)</f>
        <v>0.85799999999999998</v>
      </c>
      <c r="M22" s="70">
        <f>SUM(G22:I22)</f>
        <v>0</v>
      </c>
    </row>
    <row r="23" spans="1:14" s="30" customFormat="1" ht="16.5" thickBot="1" x14ac:dyDescent="0.3">
      <c r="A23" s="121" t="s">
        <v>23</v>
      </c>
      <c r="B23" s="122"/>
      <c r="C23" s="123"/>
      <c r="D23" s="124">
        <f t="shared" ref="D23:I23" si="3">SUM(D21:D22)</f>
        <v>0.66999999999999993</v>
      </c>
      <c r="E23" s="124">
        <f t="shared" si="3"/>
        <v>0.28999999999999998</v>
      </c>
      <c r="F23" s="124">
        <f t="shared" si="3"/>
        <v>0.55800000000000005</v>
      </c>
      <c r="G23" s="124">
        <f t="shared" si="3"/>
        <v>0</v>
      </c>
      <c r="H23" s="124">
        <f t="shared" si="3"/>
        <v>0</v>
      </c>
      <c r="I23" s="124">
        <f t="shared" si="3"/>
        <v>0</v>
      </c>
    </row>
    <row r="24" spans="1:14" s="30" customFormat="1" ht="15" x14ac:dyDescent="0.2">
      <c r="A24" s="125"/>
      <c r="B24" s="125"/>
      <c r="C24" s="125"/>
      <c r="D24" s="125"/>
      <c r="E24" s="125"/>
      <c r="F24" s="125"/>
      <c r="G24" s="125"/>
      <c r="H24" s="125"/>
      <c r="I24" s="125"/>
      <c r="J24" s="125"/>
      <c r="K24" s="125"/>
      <c r="L24"/>
      <c r="M24"/>
    </row>
    <row r="25" spans="1:14" s="30" customFormat="1" ht="15" x14ac:dyDescent="0.2">
      <c r="A25" s="125"/>
      <c r="B25" s="125"/>
      <c r="C25" s="125"/>
      <c r="D25" s="125"/>
      <c r="E25" s="125"/>
      <c r="F25" s="125"/>
      <c r="G25" s="125"/>
      <c r="H25" s="125"/>
      <c r="I25" s="125"/>
      <c r="J25" s="125"/>
      <c r="K25" s="125"/>
      <c r="L25"/>
      <c r="M25"/>
    </row>
    <row r="26" spans="1:14" s="30" customFormat="1" ht="15" x14ac:dyDescent="0.2">
      <c r="A26" s="125"/>
      <c r="B26" s="125"/>
      <c r="C26" s="125"/>
      <c r="D26" s="125"/>
      <c r="E26" s="125"/>
      <c r="F26" s="125"/>
      <c r="G26" s="125"/>
      <c r="H26" s="125"/>
      <c r="I26" s="125"/>
      <c r="J26" s="125"/>
      <c r="K26" s="125"/>
      <c r="L26"/>
      <c r="M26"/>
    </row>
    <row r="27" spans="1:14" s="30" customFormat="1" ht="15" x14ac:dyDescent="0.2">
      <c r="A27" s="127"/>
      <c r="B27" s="125"/>
      <c r="C27" s="125"/>
      <c r="D27" s="125"/>
      <c r="E27" s="125"/>
      <c r="F27" s="125"/>
      <c r="G27" s="125"/>
      <c r="H27" s="125"/>
      <c r="I27" s="125"/>
      <c r="J27" s="125"/>
      <c r="K27" s="125"/>
      <c r="L27"/>
      <c r="M27"/>
      <c r="N27" s="70"/>
    </row>
    <row r="28" spans="1:14" ht="15" x14ac:dyDescent="0.2">
      <c r="A28" s="125" t="s">
        <v>186</v>
      </c>
      <c r="B28" s="125"/>
      <c r="C28" s="125"/>
      <c r="D28" s="125"/>
      <c r="E28" s="125"/>
      <c r="F28" s="125"/>
      <c r="G28" s="125"/>
      <c r="H28" s="125"/>
      <c r="I28" s="125"/>
      <c r="J28" s="125"/>
      <c r="K28" s="125"/>
    </row>
    <row r="29" spans="1:14" ht="15" x14ac:dyDescent="0.2">
      <c r="A29" s="125" t="s">
        <v>185</v>
      </c>
      <c r="B29" s="125"/>
      <c r="C29" s="125"/>
      <c r="D29" s="125"/>
      <c r="E29" s="125"/>
      <c r="F29" s="125"/>
      <c r="G29" s="125"/>
      <c r="H29" s="125"/>
      <c r="I29" s="125"/>
      <c r="J29" s="125"/>
      <c r="K29" s="125"/>
    </row>
    <row r="33" spans="5:5" x14ac:dyDescent="0.2">
      <c r="E33" s="94"/>
    </row>
  </sheetData>
  <mergeCells count="4">
    <mergeCell ref="D8:F8"/>
    <mergeCell ref="G8:I8"/>
    <mergeCell ref="D19:F19"/>
    <mergeCell ref="G19:I19"/>
  </mergeCells>
  <pageMargins left="0.74803149606299213" right="0.74803149606299213" top="0.98425196850393704" bottom="0.98425196850393704" header="0.51181102362204722" footer="0.51181102362204722"/>
  <pageSetup orientation="landscape" horizontalDpi="4294967292" verticalDpi="4294967292"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topLeftCell="A4" zoomScale="80" zoomScaleNormal="80" zoomScalePageLayoutView="90" workbookViewId="0">
      <selection activeCell="I31" sqref="I31"/>
    </sheetView>
  </sheetViews>
  <sheetFormatPr defaultColWidth="8.85546875" defaultRowHeight="12.75" x14ac:dyDescent="0.2"/>
  <cols>
    <col min="1" max="1" width="15" customWidth="1"/>
    <col min="2" max="3" width="24.42578125" customWidth="1"/>
    <col min="4" max="4" width="17.5703125" customWidth="1"/>
    <col min="5" max="5" width="13.140625" customWidth="1"/>
    <col min="6" max="6" width="11.42578125" customWidth="1"/>
    <col min="7" max="7" width="12.5703125" customWidth="1"/>
    <col min="8" max="8" width="11" customWidth="1"/>
    <col min="9" max="9" width="11.140625" customWidth="1"/>
    <col min="10" max="10" width="18" customWidth="1"/>
    <col min="12" max="12" width="12.85546875" customWidth="1"/>
    <col min="13" max="13" width="12.140625" customWidth="1"/>
  </cols>
  <sheetData>
    <row r="1" spans="1:18" s="30" customFormat="1" ht="15.75" thickBot="1" x14ac:dyDescent="0.25">
      <c r="A1" s="96"/>
      <c r="B1" s="96"/>
      <c r="C1" s="96"/>
      <c r="D1" s="96"/>
      <c r="E1" s="96"/>
      <c r="F1" s="96"/>
      <c r="G1" s="96"/>
      <c r="H1" s="96"/>
      <c r="I1" s="96"/>
      <c r="J1" s="96"/>
      <c r="K1" s="96"/>
    </row>
    <row r="2" spans="1:18" s="30" customFormat="1" ht="16.5" thickBot="1" x14ac:dyDescent="0.3">
      <c r="A2" s="97" t="s">
        <v>24</v>
      </c>
      <c r="B2" s="98"/>
      <c r="E2" s="96"/>
      <c r="F2" s="96"/>
      <c r="G2" s="96"/>
      <c r="H2" s="96"/>
      <c r="I2" s="96"/>
    </row>
    <row r="3" spans="1:18" s="30" customFormat="1" ht="15.75" x14ac:dyDescent="0.25">
      <c r="A3" s="99" t="s">
        <v>28</v>
      </c>
      <c r="B3" s="100" t="s">
        <v>53</v>
      </c>
      <c r="E3" s="96"/>
      <c r="F3" s="96"/>
      <c r="G3" s="96"/>
      <c r="H3" s="96"/>
      <c r="I3" s="96"/>
    </row>
    <row r="4" spans="1:18" s="30" customFormat="1" ht="15.75" x14ac:dyDescent="0.25">
      <c r="A4" s="101" t="s">
        <v>25</v>
      </c>
      <c r="B4" s="19" t="str">
        <f>Metrics!B4</f>
        <v>Q416</v>
      </c>
      <c r="E4" s="96"/>
      <c r="F4" s="96"/>
      <c r="G4" s="96"/>
      <c r="H4" s="96"/>
      <c r="I4" s="96"/>
      <c r="L4" s="30">
        <v>16.325405405405405</v>
      </c>
      <c r="M4" s="30">
        <v>15.625405405405404</v>
      </c>
      <c r="N4" s="30">
        <v>15.475405405405406</v>
      </c>
      <c r="O4" s="30">
        <v>16.105405405405406</v>
      </c>
      <c r="P4" s="30">
        <v>15.605405405405405</v>
      </c>
      <c r="Q4" s="30">
        <v>15.605405405405405</v>
      </c>
    </row>
    <row r="5" spans="1:18" s="30" customFormat="1" ht="16.5" thickBot="1" x14ac:dyDescent="0.3">
      <c r="A5" s="102" t="s">
        <v>29</v>
      </c>
      <c r="B5" s="103" t="s">
        <v>54</v>
      </c>
      <c r="E5" s="96"/>
      <c r="F5" s="96"/>
      <c r="G5" s="96"/>
      <c r="H5" s="96"/>
      <c r="I5" s="96"/>
    </row>
    <row r="6" spans="1:18" s="30" customFormat="1" ht="15" x14ac:dyDescent="0.2">
      <c r="A6" s="96"/>
      <c r="B6" s="96"/>
      <c r="C6" s="96"/>
      <c r="D6" s="96"/>
      <c r="E6" s="96"/>
      <c r="F6" s="96"/>
      <c r="G6" s="96"/>
      <c r="H6" s="96"/>
      <c r="I6" s="96"/>
    </row>
    <row r="7" spans="1:18" s="30" customFormat="1" ht="16.5" thickBot="1" x14ac:dyDescent="0.3">
      <c r="A7" s="104" t="s">
        <v>45</v>
      </c>
      <c r="B7" s="104"/>
      <c r="C7" s="104"/>
      <c r="D7" s="96"/>
      <c r="E7" s="96"/>
      <c r="F7" s="96"/>
      <c r="G7" s="96"/>
      <c r="H7" s="96"/>
      <c r="I7" s="96"/>
    </row>
    <row r="8" spans="1:18" s="30" customFormat="1" ht="13.5" customHeight="1" thickBot="1" x14ac:dyDescent="0.3">
      <c r="A8" s="105"/>
      <c r="B8" s="106"/>
      <c r="C8" s="107"/>
      <c r="D8" s="289" t="s">
        <v>6</v>
      </c>
      <c r="E8" s="290"/>
      <c r="F8" s="291"/>
      <c r="G8" s="290" t="s">
        <v>7</v>
      </c>
      <c r="H8" s="290"/>
      <c r="I8" s="291"/>
      <c r="O8" s="30">
        <f>AVERAGE(L4:Q4)/17.5</f>
        <v>0.90230888030888023</v>
      </c>
    </row>
    <row r="9" spans="1:18" s="30" customFormat="1" ht="32.25" thickBot="1" x14ac:dyDescent="0.3">
      <c r="A9" s="108" t="s">
        <v>22</v>
      </c>
      <c r="B9" s="109" t="s">
        <v>41</v>
      </c>
      <c r="C9" s="109" t="s">
        <v>71</v>
      </c>
      <c r="D9" s="110" t="s">
        <v>5</v>
      </c>
      <c r="E9" s="111" t="s">
        <v>8</v>
      </c>
      <c r="F9" s="112" t="s">
        <v>9</v>
      </c>
      <c r="G9" s="113" t="s">
        <v>5</v>
      </c>
      <c r="H9" s="111" t="s">
        <v>8</v>
      </c>
      <c r="I9" s="114" t="s">
        <v>9</v>
      </c>
    </row>
    <row r="10" spans="1:18" s="30" customFormat="1" ht="47.25" x14ac:dyDescent="0.25">
      <c r="A10" s="115" t="s">
        <v>53</v>
      </c>
      <c r="B10" s="116" t="s">
        <v>107</v>
      </c>
      <c r="C10" s="117" t="s">
        <v>299</v>
      </c>
      <c r="D10" s="144">
        <v>4.5</v>
      </c>
      <c r="E10" s="144">
        <v>4.5</v>
      </c>
      <c r="F10" s="144">
        <v>4.5</v>
      </c>
      <c r="G10" s="165"/>
      <c r="H10" s="166"/>
      <c r="I10" s="167"/>
      <c r="J10" s="128"/>
      <c r="K10" s="141"/>
      <c r="L10" s="70">
        <f>SUM(D10:F10)</f>
        <v>13.5</v>
      </c>
      <c r="M10" s="70">
        <f t="shared" ref="M10:M15" si="0">SUM(G10:I10)</f>
        <v>0</v>
      </c>
    </row>
    <row r="11" spans="1:18" s="30" customFormat="1" ht="63" x14ac:dyDescent="0.25">
      <c r="A11" s="118" t="s">
        <v>53</v>
      </c>
      <c r="B11" s="119" t="s">
        <v>108</v>
      </c>
      <c r="C11" s="120" t="s">
        <v>129</v>
      </c>
      <c r="D11" s="145">
        <v>3.7</v>
      </c>
      <c r="E11" s="145">
        <v>3.7</v>
      </c>
      <c r="F11" s="145">
        <v>3.7</v>
      </c>
      <c r="G11" s="168"/>
      <c r="H11" s="168"/>
      <c r="I11" s="168"/>
      <c r="J11" s="128"/>
      <c r="L11" s="70">
        <f>SUM(D11:F11)</f>
        <v>11.100000000000001</v>
      </c>
      <c r="M11" s="70">
        <f t="shared" si="0"/>
        <v>0</v>
      </c>
    </row>
    <row r="12" spans="1:18" s="30" customFormat="1" ht="63" x14ac:dyDescent="0.25">
      <c r="A12" s="118" t="s">
        <v>53</v>
      </c>
      <c r="B12" s="119" t="s">
        <v>317</v>
      </c>
      <c r="C12" s="120" t="s">
        <v>184</v>
      </c>
      <c r="D12" s="146">
        <v>3.9</v>
      </c>
      <c r="E12" s="146">
        <v>3.9</v>
      </c>
      <c r="F12" s="146">
        <v>3.9</v>
      </c>
      <c r="G12" s="169"/>
      <c r="H12" s="169"/>
      <c r="I12" s="169"/>
      <c r="J12" s="94"/>
      <c r="L12" s="70">
        <f>SUM(D12:F12)</f>
        <v>11.7</v>
      </c>
      <c r="M12" s="70">
        <f t="shared" si="0"/>
        <v>0</v>
      </c>
      <c r="R12" s="70">
        <f>AVERAGE(D16:F16)</f>
        <v>15.772072072072072</v>
      </c>
    </row>
    <row r="13" spans="1:18" s="30" customFormat="1" ht="15.75" x14ac:dyDescent="0.25">
      <c r="A13" s="118" t="s">
        <v>53</v>
      </c>
      <c r="B13" s="119" t="s">
        <v>109</v>
      </c>
      <c r="C13" s="120" t="s">
        <v>383</v>
      </c>
      <c r="D13" s="146">
        <v>1.8</v>
      </c>
      <c r="E13" s="146">
        <v>1.3</v>
      </c>
      <c r="F13" s="146">
        <v>1.3</v>
      </c>
      <c r="G13" s="169"/>
      <c r="H13" s="170"/>
      <c r="I13" s="171"/>
      <c r="J13" s="129"/>
      <c r="L13" s="70">
        <f>SUM(D13:F13)</f>
        <v>4.4000000000000004</v>
      </c>
      <c r="M13" s="70">
        <f t="shared" si="0"/>
        <v>0</v>
      </c>
    </row>
    <row r="14" spans="1:18" s="30" customFormat="1" ht="15.75" x14ac:dyDescent="0.25">
      <c r="A14" s="118" t="s">
        <v>53</v>
      </c>
      <c r="B14" s="119" t="s">
        <v>52</v>
      </c>
      <c r="C14" s="120" t="s">
        <v>72</v>
      </c>
      <c r="D14" s="146">
        <v>0.2</v>
      </c>
      <c r="E14" s="146">
        <v>0.2</v>
      </c>
      <c r="F14" s="146">
        <v>0.2</v>
      </c>
      <c r="G14" s="169"/>
      <c r="H14" s="169"/>
      <c r="I14" s="169"/>
      <c r="J14" s="129"/>
      <c r="L14" s="70">
        <f t="shared" ref="L14:L15" si="1">SUM(D14:F14)</f>
        <v>0.60000000000000009</v>
      </c>
      <c r="M14" s="70">
        <f t="shared" si="0"/>
        <v>0</v>
      </c>
    </row>
    <row r="15" spans="1:18" s="30" customFormat="1" ht="16.5" thickBot="1" x14ac:dyDescent="0.3">
      <c r="A15" s="118" t="s">
        <v>53</v>
      </c>
      <c r="B15" s="119" t="s">
        <v>61</v>
      </c>
      <c r="C15" s="120" t="s">
        <v>112</v>
      </c>
      <c r="D15" s="147">
        <v>2.0054054054054054</v>
      </c>
      <c r="E15" s="147">
        <v>2.0054054054054054</v>
      </c>
      <c r="F15" s="147">
        <v>2.0054054054054054</v>
      </c>
      <c r="G15" s="173"/>
      <c r="H15" s="173"/>
      <c r="I15" s="173"/>
      <c r="J15" s="129"/>
      <c r="L15" s="70">
        <f t="shared" si="1"/>
        <v>6.0162162162162165</v>
      </c>
      <c r="M15" s="70">
        <f t="shared" si="0"/>
        <v>0</v>
      </c>
    </row>
    <row r="16" spans="1:18" s="30" customFormat="1" ht="16.5" thickBot="1" x14ac:dyDescent="0.3">
      <c r="A16" s="121" t="s">
        <v>23</v>
      </c>
      <c r="B16" s="122"/>
      <c r="C16" s="123"/>
      <c r="D16" s="124">
        <f t="shared" ref="D16:I16" si="2">SUM(D10:D15)</f>
        <v>16.105405405405406</v>
      </c>
      <c r="E16" s="124">
        <f t="shared" si="2"/>
        <v>15.605405405405405</v>
      </c>
      <c r="F16" s="124">
        <f t="shared" si="2"/>
        <v>15.605405405405405</v>
      </c>
      <c r="G16" s="124">
        <f t="shared" si="2"/>
        <v>0</v>
      </c>
      <c r="H16" s="124">
        <f t="shared" si="2"/>
        <v>0</v>
      </c>
      <c r="I16" s="124">
        <f t="shared" si="2"/>
        <v>0</v>
      </c>
      <c r="N16" s="70"/>
    </row>
    <row r="17" spans="1:14" ht="15" x14ac:dyDescent="0.2">
      <c r="A17" s="125"/>
      <c r="B17" s="125"/>
      <c r="C17" s="125"/>
      <c r="D17" s="125"/>
      <c r="E17" s="125"/>
      <c r="F17" s="126"/>
      <c r="G17" s="125"/>
      <c r="H17" s="125"/>
      <c r="I17" s="125"/>
      <c r="J17" s="125"/>
      <c r="K17" s="125"/>
    </row>
    <row r="18" spans="1:14" ht="15.75" thickBot="1" x14ac:dyDescent="0.25">
      <c r="A18" s="125"/>
      <c r="B18" s="125"/>
      <c r="C18" s="125"/>
      <c r="D18" s="125"/>
      <c r="E18" s="125"/>
      <c r="F18" s="125"/>
      <c r="G18" s="125"/>
      <c r="H18" s="126"/>
      <c r="I18" s="125"/>
      <c r="J18" s="125"/>
      <c r="K18" s="125"/>
    </row>
    <row r="19" spans="1:14" s="30" customFormat="1" ht="13.5" customHeight="1" thickBot="1" x14ac:dyDescent="0.3">
      <c r="A19" s="105"/>
      <c r="B19" s="106"/>
      <c r="C19" s="107"/>
      <c r="D19" s="289" t="s">
        <v>6</v>
      </c>
      <c r="E19" s="290"/>
      <c r="F19" s="291"/>
      <c r="G19" s="290" t="s">
        <v>7</v>
      </c>
      <c r="H19" s="290"/>
      <c r="I19" s="291"/>
    </row>
    <row r="20" spans="1:14" s="30" customFormat="1" ht="32.25" thickBot="1" x14ac:dyDescent="0.3">
      <c r="A20" s="108" t="s">
        <v>22</v>
      </c>
      <c r="B20" s="109" t="s">
        <v>41</v>
      </c>
      <c r="C20" s="109" t="s">
        <v>71</v>
      </c>
      <c r="D20" s="110" t="s">
        <v>5</v>
      </c>
      <c r="E20" s="111" t="s">
        <v>8</v>
      </c>
      <c r="F20" s="112" t="s">
        <v>9</v>
      </c>
      <c r="G20" s="113" t="s">
        <v>5</v>
      </c>
      <c r="H20" s="111" t="s">
        <v>8</v>
      </c>
      <c r="I20" s="114" t="s">
        <v>9</v>
      </c>
    </row>
    <row r="21" spans="1:14" s="30" customFormat="1" ht="15.75" x14ac:dyDescent="0.25">
      <c r="A21" s="115" t="s">
        <v>53</v>
      </c>
      <c r="B21" s="116" t="s">
        <v>273</v>
      </c>
      <c r="C21" s="117" t="s">
        <v>319</v>
      </c>
      <c r="D21" s="144">
        <v>0.37</v>
      </c>
      <c r="E21" s="144">
        <v>0.37</v>
      </c>
      <c r="F21" s="144">
        <v>0.37</v>
      </c>
      <c r="G21" s="165"/>
      <c r="H21" s="166"/>
      <c r="I21" s="167"/>
      <c r="J21" s="128"/>
      <c r="K21" s="141"/>
      <c r="L21" s="70">
        <f>SUM(D21:F21)</f>
        <v>1.1099999999999999</v>
      </c>
      <c r="M21" s="70">
        <f>SUM(G21:I21)</f>
        <v>0</v>
      </c>
    </row>
    <row r="22" spans="1:14" s="30" customFormat="1" ht="16.5" thickBot="1" x14ac:dyDescent="0.3">
      <c r="A22" s="118" t="s">
        <v>53</v>
      </c>
      <c r="B22" s="119" t="s">
        <v>274</v>
      </c>
      <c r="C22" s="120" t="s">
        <v>318</v>
      </c>
      <c r="D22" s="145">
        <v>0.28999999999999998</v>
      </c>
      <c r="E22" s="145">
        <v>0.28999999999999998</v>
      </c>
      <c r="F22" s="145">
        <v>0.27800000000000002</v>
      </c>
      <c r="G22" s="168"/>
      <c r="H22" s="168"/>
      <c r="I22" s="168"/>
      <c r="J22" s="128"/>
      <c r="L22" s="70">
        <f>SUM(D22:F22)</f>
        <v>0.85799999999999998</v>
      </c>
      <c r="M22" s="70">
        <f>SUM(G22:I22)</f>
        <v>0</v>
      </c>
    </row>
    <row r="23" spans="1:14" s="30" customFormat="1" ht="16.5" thickBot="1" x14ac:dyDescent="0.3">
      <c r="A23" s="121" t="s">
        <v>23</v>
      </c>
      <c r="B23" s="122"/>
      <c r="C23" s="123"/>
      <c r="D23" s="124">
        <f t="shared" ref="D23:I23" si="3">SUM(D21:D22)</f>
        <v>0.65999999999999992</v>
      </c>
      <c r="E23" s="124">
        <f t="shared" si="3"/>
        <v>0.65999999999999992</v>
      </c>
      <c r="F23" s="124">
        <f t="shared" si="3"/>
        <v>0.64800000000000002</v>
      </c>
      <c r="G23" s="124">
        <f t="shared" si="3"/>
        <v>0</v>
      </c>
      <c r="H23" s="124">
        <f t="shared" si="3"/>
        <v>0</v>
      </c>
      <c r="I23" s="124">
        <f t="shared" si="3"/>
        <v>0</v>
      </c>
    </row>
    <row r="24" spans="1:14" s="30" customFormat="1" ht="15" x14ac:dyDescent="0.2">
      <c r="A24" s="125"/>
      <c r="B24" s="125"/>
      <c r="C24" s="125"/>
      <c r="D24" s="125"/>
      <c r="E24" s="125"/>
      <c r="F24" s="125"/>
      <c r="G24" s="125"/>
      <c r="H24" s="125"/>
      <c r="I24" s="125"/>
      <c r="J24" s="125"/>
      <c r="K24" s="125"/>
      <c r="L24"/>
      <c r="M24"/>
    </row>
    <row r="25" spans="1:14" s="30" customFormat="1" ht="15" x14ac:dyDescent="0.2">
      <c r="A25" s="125"/>
      <c r="B25" s="125"/>
      <c r="C25" s="125"/>
      <c r="D25" s="125"/>
      <c r="E25" s="125"/>
      <c r="F25" s="125"/>
      <c r="G25" s="125"/>
      <c r="H25" s="125"/>
      <c r="I25" s="125"/>
      <c r="J25" s="125"/>
      <c r="K25" s="125"/>
      <c r="L25"/>
      <c r="M25"/>
    </row>
    <row r="26" spans="1:14" s="30" customFormat="1" ht="15" x14ac:dyDescent="0.2">
      <c r="A26" s="125"/>
      <c r="B26" s="125"/>
      <c r="C26" s="125"/>
      <c r="D26" s="125"/>
      <c r="E26" s="125"/>
      <c r="F26" s="125"/>
      <c r="G26" s="125"/>
      <c r="H26" s="125"/>
      <c r="I26" s="125"/>
      <c r="J26" s="125"/>
      <c r="K26" s="125"/>
      <c r="L26"/>
      <c r="M26"/>
    </row>
    <row r="27" spans="1:14" s="30" customFormat="1" ht="15" x14ac:dyDescent="0.2">
      <c r="A27" s="127"/>
      <c r="B27" s="125"/>
      <c r="C27" s="125"/>
      <c r="D27" s="125"/>
      <c r="E27" s="125"/>
      <c r="F27" s="125"/>
      <c r="G27" s="125"/>
      <c r="H27" s="125"/>
      <c r="I27" s="125"/>
      <c r="J27" s="125"/>
      <c r="K27" s="125"/>
      <c r="L27"/>
      <c r="M27"/>
      <c r="N27" s="70"/>
    </row>
    <row r="28" spans="1:14" ht="15" x14ac:dyDescent="0.2">
      <c r="A28" s="125" t="s">
        <v>186</v>
      </c>
      <c r="B28" s="125"/>
      <c r="C28" s="125"/>
      <c r="D28" s="125"/>
      <c r="E28" s="125"/>
      <c r="F28" s="125"/>
      <c r="G28" s="125"/>
      <c r="H28" s="125"/>
      <c r="I28" s="125"/>
      <c r="J28" s="125"/>
      <c r="K28" s="125"/>
    </row>
    <row r="29" spans="1:14" ht="15" x14ac:dyDescent="0.2">
      <c r="A29" s="125" t="s">
        <v>185</v>
      </c>
      <c r="B29" s="125"/>
      <c r="C29" s="125"/>
      <c r="D29" s="125"/>
      <c r="E29" s="125"/>
      <c r="F29" s="125"/>
      <c r="G29" s="125"/>
      <c r="H29" s="125"/>
      <c r="I29" s="125"/>
      <c r="J29" s="125"/>
      <c r="K29" s="125"/>
    </row>
    <row r="33" spans="5:5" x14ac:dyDescent="0.2">
      <c r="E33" s="94"/>
    </row>
  </sheetData>
  <mergeCells count="4">
    <mergeCell ref="D8:F8"/>
    <mergeCell ref="G8:I8"/>
    <mergeCell ref="D19:F19"/>
    <mergeCell ref="G19:I19"/>
  </mergeCells>
  <pageMargins left="0.74803149606299213" right="0.74803149606299213" top="0.98425196850393704" bottom="0.98425196850393704" header="0.51181102362204722" footer="0.51181102362204722"/>
  <pageSetup orientation="landscape" horizontalDpi="4294967292" verticalDpi="4294967292"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O57"/>
  <sheetViews>
    <sheetView topLeftCell="A7" zoomScale="80" zoomScaleNormal="80" zoomScalePageLayoutView="90" workbookViewId="0">
      <selection activeCell="G9" sqref="G9:K9"/>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71" t="s">
        <v>247</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352" t="s">
        <v>11</v>
      </c>
      <c r="C8" s="346"/>
      <c r="D8" s="346"/>
      <c r="E8" s="346"/>
      <c r="F8" s="347"/>
      <c r="G8" s="346" t="s">
        <v>12</v>
      </c>
      <c r="H8" s="346"/>
      <c r="I8" s="346"/>
      <c r="J8" s="346"/>
      <c r="K8" s="347"/>
    </row>
    <row r="9" spans="1:14" ht="122.25" customHeight="1" x14ac:dyDescent="0.2">
      <c r="A9" s="64" t="s">
        <v>58</v>
      </c>
      <c r="B9" s="348" t="s">
        <v>150</v>
      </c>
      <c r="C9" s="349"/>
      <c r="D9" s="349"/>
      <c r="E9" s="349"/>
      <c r="F9" s="349"/>
      <c r="G9" s="350" t="s">
        <v>151</v>
      </c>
      <c r="H9" s="350"/>
      <c r="I9" s="350"/>
      <c r="J9" s="350"/>
      <c r="K9" s="351"/>
      <c r="N9" s="163"/>
    </row>
    <row r="10" spans="1:14" ht="217.5" customHeight="1" x14ac:dyDescent="0.2">
      <c r="A10" s="65" t="s">
        <v>52</v>
      </c>
      <c r="B10" s="333" t="s">
        <v>149</v>
      </c>
      <c r="C10" s="334"/>
      <c r="D10" s="334"/>
      <c r="E10" s="334"/>
      <c r="F10" s="334"/>
      <c r="G10" s="337"/>
      <c r="H10" s="337"/>
      <c r="I10" s="337"/>
      <c r="J10" s="337"/>
      <c r="K10" s="338"/>
    </row>
    <row r="11" spans="1:14" ht="143.25" customHeight="1" x14ac:dyDescent="0.2">
      <c r="A11" s="65" t="s">
        <v>48</v>
      </c>
      <c r="B11" s="333" t="s">
        <v>148</v>
      </c>
      <c r="C11" s="334"/>
      <c r="D11" s="334"/>
      <c r="E11" s="334"/>
      <c r="F11" s="334"/>
      <c r="G11" s="337"/>
      <c r="H11" s="337"/>
      <c r="I11" s="337"/>
      <c r="J11" s="337"/>
      <c r="K11" s="338"/>
    </row>
    <row r="12" spans="1:14" ht="194.25" customHeight="1" x14ac:dyDescent="0.2">
      <c r="A12" s="65" t="s">
        <v>60</v>
      </c>
      <c r="B12" s="333" t="s">
        <v>153</v>
      </c>
      <c r="C12" s="334"/>
      <c r="D12" s="334"/>
      <c r="E12" s="334"/>
      <c r="F12" s="334"/>
      <c r="G12" s="337" t="s">
        <v>174</v>
      </c>
      <c r="H12" s="337"/>
      <c r="I12" s="337"/>
      <c r="J12" s="337"/>
      <c r="K12" s="338"/>
    </row>
    <row r="13" spans="1:14" ht="243.75" customHeight="1" x14ac:dyDescent="0.2">
      <c r="A13" s="65" t="s">
        <v>59</v>
      </c>
      <c r="B13" s="333"/>
      <c r="C13" s="334"/>
      <c r="D13" s="334"/>
      <c r="E13" s="334"/>
      <c r="F13" s="334"/>
      <c r="G13" s="334" t="s">
        <v>156</v>
      </c>
      <c r="H13" s="334"/>
      <c r="I13" s="334"/>
      <c r="J13" s="334"/>
      <c r="K13" s="339"/>
    </row>
    <row r="14" spans="1:14" ht="129.75" customHeight="1" x14ac:dyDescent="0.2">
      <c r="A14" s="65" t="s">
        <v>74</v>
      </c>
      <c r="B14" s="333"/>
      <c r="C14" s="334"/>
      <c r="D14" s="334"/>
      <c r="E14" s="334"/>
      <c r="F14" s="334"/>
      <c r="G14" s="334"/>
      <c r="H14" s="334"/>
      <c r="I14" s="334"/>
      <c r="J14" s="334"/>
      <c r="K14" s="339"/>
    </row>
    <row r="15" spans="1:14" ht="134.25" customHeight="1" x14ac:dyDescent="0.2">
      <c r="A15" s="66" t="s">
        <v>70</v>
      </c>
      <c r="B15" s="333"/>
      <c r="C15" s="334"/>
      <c r="D15" s="334"/>
      <c r="E15" s="334"/>
      <c r="F15" s="334"/>
      <c r="G15" s="334"/>
      <c r="H15" s="334"/>
      <c r="I15" s="334"/>
      <c r="J15" s="334"/>
      <c r="K15" s="339"/>
    </row>
    <row r="16" spans="1:14" ht="212.25" customHeight="1" x14ac:dyDescent="0.2">
      <c r="A16" s="65" t="s">
        <v>1</v>
      </c>
      <c r="B16" s="333"/>
      <c r="C16" s="334"/>
      <c r="D16" s="334"/>
      <c r="E16" s="334"/>
      <c r="F16" s="334"/>
      <c r="G16" s="334"/>
      <c r="H16" s="334"/>
      <c r="I16" s="334"/>
      <c r="J16" s="334"/>
      <c r="K16" s="339"/>
    </row>
    <row r="17" spans="1:11" ht="158.25" customHeight="1" x14ac:dyDescent="0.2">
      <c r="A17" s="65" t="s">
        <v>51</v>
      </c>
      <c r="B17" s="333" t="s">
        <v>152</v>
      </c>
      <c r="C17" s="334"/>
      <c r="D17" s="334"/>
      <c r="E17" s="334"/>
      <c r="F17" s="334"/>
      <c r="G17" s="334" t="s">
        <v>154</v>
      </c>
      <c r="H17" s="334"/>
      <c r="I17" s="334"/>
      <c r="J17" s="334"/>
      <c r="K17" s="339"/>
    </row>
    <row r="18" spans="1:11" ht="146.25" customHeight="1" thickBot="1" x14ac:dyDescent="0.25">
      <c r="A18" s="67" t="s">
        <v>110</v>
      </c>
      <c r="B18" s="363"/>
      <c r="C18" s="361"/>
      <c r="D18" s="361"/>
      <c r="E18" s="361"/>
      <c r="F18" s="364"/>
      <c r="G18" s="360"/>
      <c r="H18" s="361"/>
      <c r="I18" s="361"/>
      <c r="J18" s="361"/>
      <c r="K18" s="362"/>
    </row>
    <row r="19" spans="1:11" ht="127.5" customHeight="1" thickBot="1" x14ac:dyDescent="0.25">
      <c r="A19" s="67" t="s">
        <v>111</v>
      </c>
      <c r="B19" s="363"/>
      <c r="C19" s="361"/>
      <c r="D19" s="361"/>
      <c r="E19" s="361"/>
      <c r="F19" s="364"/>
      <c r="G19" s="360" t="s">
        <v>155</v>
      </c>
      <c r="H19" s="361"/>
      <c r="I19" s="361"/>
      <c r="J19" s="361"/>
      <c r="K19" s="362"/>
    </row>
    <row r="20" spans="1:11" x14ac:dyDescent="0.2">
      <c r="A20" s="30" t="s">
        <v>15</v>
      </c>
      <c r="B20" s="30"/>
      <c r="C20" s="30"/>
      <c r="D20" s="30"/>
      <c r="E20" s="30"/>
      <c r="F20" s="30"/>
      <c r="G20" s="30"/>
      <c r="H20" s="30"/>
      <c r="I20" s="30"/>
      <c r="J20" s="30"/>
      <c r="K20" s="30"/>
    </row>
    <row r="21" spans="1:11" x14ac:dyDescent="0.2">
      <c r="A21" s="30"/>
      <c r="B21" s="30"/>
      <c r="C21" s="30"/>
      <c r="D21" s="30"/>
      <c r="E21" s="30"/>
      <c r="F21" s="30"/>
      <c r="G21" s="30"/>
      <c r="H21" s="30"/>
      <c r="I21" s="30"/>
      <c r="J21" s="30"/>
      <c r="K21" s="30"/>
    </row>
    <row r="22" spans="1:11" ht="13.5" thickBot="1" x14ac:dyDescent="0.25">
      <c r="A22" s="1" t="s">
        <v>13</v>
      </c>
    </row>
    <row r="23" spans="1:11" ht="13.5" thickBot="1" x14ac:dyDescent="0.25">
      <c r="A23" s="292" t="s">
        <v>14</v>
      </c>
      <c r="B23" s="293"/>
      <c r="C23" s="293"/>
      <c r="D23" s="293"/>
      <c r="E23" s="293"/>
      <c r="F23" s="293" t="s">
        <v>16</v>
      </c>
      <c r="G23" s="293"/>
      <c r="H23" s="293"/>
      <c r="I23" s="293"/>
      <c r="J23" s="326"/>
    </row>
    <row r="24" spans="1:11" ht="81" customHeight="1" thickBot="1" x14ac:dyDescent="0.25">
      <c r="A24" s="319" t="s">
        <v>135</v>
      </c>
      <c r="B24" s="357"/>
      <c r="C24" s="357"/>
      <c r="D24" s="357"/>
      <c r="E24" s="359"/>
      <c r="F24" s="307" t="s">
        <v>136</v>
      </c>
      <c r="G24" s="357"/>
      <c r="H24" s="357"/>
      <c r="I24" s="357"/>
      <c r="J24" s="358"/>
    </row>
    <row r="25" spans="1:11" ht="13.5" thickBot="1" x14ac:dyDescent="0.25">
      <c r="A25" s="355"/>
      <c r="B25" s="331"/>
      <c r="C25" s="331"/>
      <c r="D25" s="331"/>
      <c r="E25" s="356"/>
      <c r="F25" s="353"/>
      <c r="G25" s="353"/>
      <c r="H25" s="353"/>
      <c r="I25" s="353"/>
      <c r="J25" s="354"/>
    </row>
    <row r="27" spans="1:11" ht="13.5" thickBot="1" x14ac:dyDescent="0.25">
      <c r="A27" s="1" t="s">
        <v>43</v>
      </c>
    </row>
    <row r="28" spans="1:11" ht="13.5" thickBot="1" x14ac:dyDescent="0.25">
      <c r="A28" s="292" t="s">
        <v>14</v>
      </c>
      <c r="B28" s="293"/>
      <c r="C28" s="293"/>
      <c r="D28" s="293"/>
      <c r="E28" s="293"/>
      <c r="F28" s="293" t="s">
        <v>16</v>
      </c>
      <c r="G28" s="293"/>
      <c r="H28" s="293"/>
      <c r="I28" s="293"/>
      <c r="J28" s="326"/>
    </row>
    <row r="29" spans="1:11" ht="86.25" customHeight="1" thickBot="1" x14ac:dyDescent="0.25">
      <c r="A29" s="312" t="s">
        <v>157</v>
      </c>
      <c r="B29" s="313"/>
      <c r="C29" s="313"/>
      <c r="D29" s="313"/>
      <c r="E29" s="313"/>
      <c r="F29" s="316" t="s">
        <v>142</v>
      </c>
      <c r="G29" s="365"/>
      <c r="H29" s="365"/>
      <c r="I29" s="365"/>
      <c r="J29" s="366"/>
    </row>
    <row r="30" spans="1:11" ht="93" customHeight="1" thickBot="1" x14ac:dyDescent="0.25">
      <c r="A30" s="312" t="s">
        <v>144</v>
      </c>
      <c r="B30" s="313"/>
      <c r="C30" s="313"/>
      <c r="D30" s="313"/>
      <c r="E30" s="313"/>
      <c r="F30" s="316" t="s">
        <v>131</v>
      </c>
      <c r="G30" s="365"/>
      <c r="H30" s="365"/>
      <c r="I30" s="365"/>
      <c r="J30" s="366"/>
    </row>
    <row r="31" spans="1:11" ht="135" customHeight="1" thickBot="1" x14ac:dyDescent="0.25">
      <c r="A31" s="312" t="s">
        <v>141</v>
      </c>
      <c r="B31" s="313"/>
      <c r="C31" s="313"/>
      <c r="D31" s="313"/>
      <c r="E31" s="313"/>
      <c r="F31" s="316" t="s">
        <v>143</v>
      </c>
      <c r="G31" s="365"/>
      <c r="H31" s="365"/>
      <c r="I31" s="365"/>
      <c r="J31" s="366"/>
    </row>
    <row r="32" spans="1:11" ht="166.5" customHeight="1" thickBot="1" x14ac:dyDescent="0.25">
      <c r="A32" s="319" t="s">
        <v>130</v>
      </c>
      <c r="B32" s="357"/>
      <c r="C32" s="357"/>
      <c r="D32" s="357"/>
      <c r="E32" s="359"/>
      <c r="F32" s="307" t="s">
        <v>168</v>
      </c>
      <c r="G32" s="357"/>
      <c r="H32" s="357"/>
      <c r="I32" s="357"/>
      <c r="J32" s="358"/>
    </row>
    <row r="34" spans="1:15" ht="13.5" thickBot="1" x14ac:dyDescent="0.25">
      <c r="A34" s="1" t="s">
        <v>17</v>
      </c>
    </row>
    <row r="35" spans="1:15" ht="13.5" thickBot="1" x14ac:dyDescent="0.25">
      <c r="A35" s="292" t="s">
        <v>18</v>
      </c>
      <c r="B35" s="293"/>
      <c r="C35" s="293"/>
      <c r="D35" s="293"/>
      <c r="E35" s="293"/>
      <c r="F35" s="294" t="s">
        <v>19</v>
      </c>
      <c r="G35" s="295"/>
      <c r="H35" s="294" t="s">
        <v>20</v>
      </c>
      <c r="I35" s="293"/>
      <c r="J35" s="293"/>
      <c r="K35" s="293"/>
      <c r="L35" s="326"/>
    </row>
    <row r="36" spans="1:15" ht="42.75" customHeight="1" thickBot="1" x14ac:dyDescent="0.25">
      <c r="A36" s="296" t="s">
        <v>137</v>
      </c>
      <c r="B36" s="297"/>
      <c r="C36" s="297"/>
      <c r="D36" s="297"/>
      <c r="E36" s="297"/>
      <c r="F36" s="368">
        <v>42460</v>
      </c>
      <c r="G36" s="299"/>
      <c r="H36" s="300" t="s">
        <v>163</v>
      </c>
      <c r="I36" s="301"/>
      <c r="J36" s="301"/>
      <c r="K36" s="301"/>
      <c r="L36" s="302"/>
    </row>
    <row r="37" spans="1:15" ht="42.75" customHeight="1" thickBot="1" x14ac:dyDescent="0.25">
      <c r="A37" s="296" t="s">
        <v>161</v>
      </c>
      <c r="B37" s="297"/>
      <c r="C37" s="297"/>
      <c r="D37" s="297"/>
      <c r="E37" s="297"/>
      <c r="F37" s="298">
        <v>42430</v>
      </c>
      <c r="G37" s="299"/>
      <c r="H37" s="300" t="s">
        <v>162</v>
      </c>
      <c r="I37" s="301"/>
      <c r="J37" s="301"/>
      <c r="K37" s="301"/>
      <c r="L37" s="302"/>
    </row>
    <row r="38" spans="1:15" ht="42.75" customHeight="1" thickBot="1" x14ac:dyDescent="0.25">
      <c r="A38" s="303"/>
      <c r="B38" s="304"/>
      <c r="C38" s="304"/>
      <c r="D38" s="304"/>
      <c r="E38" s="304"/>
      <c r="F38" s="305"/>
      <c r="G38" s="306"/>
      <c r="H38" s="307"/>
      <c r="I38" s="308"/>
      <c r="J38" s="308"/>
      <c r="K38" s="308"/>
      <c r="L38" s="309"/>
    </row>
    <row r="39" spans="1:15" ht="12" customHeight="1" thickBot="1" x14ac:dyDescent="0.25">
      <c r="A39" s="58"/>
      <c r="B39" s="59"/>
      <c r="C39" s="59"/>
      <c r="D39" s="59"/>
      <c r="E39" s="60"/>
      <c r="F39" s="54"/>
      <c r="G39" s="53"/>
      <c r="H39" s="55"/>
      <c r="I39" s="56"/>
      <c r="J39" s="56"/>
      <c r="K39" s="56"/>
      <c r="L39" s="57"/>
    </row>
    <row r="40" spans="1:15" ht="24.75" customHeight="1" x14ac:dyDescent="0.2">
      <c r="O40" s="32"/>
    </row>
    <row r="41" spans="1:15" ht="24.75" customHeight="1" thickBot="1" x14ac:dyDescent="0.25">
      <c r="A41" s="1" t="s">
        <v>21</v>
      </c>
      <c r="O41" s="32"/>
    </row>
    <row r="42" spans="1:15" ht="24.75" customHeight="1" thickBot="1" x14ac:dyDescent="0.25">
      <c r="A42" s="292" t="s">
        <v>18</v>
      </c>
      <c r="B42" s="293"/>
      <c r="C42" s="293"/>
      <c r="D42" s="293"/>
      <c r="E42" s="293"/>
      <c r="F42" s="294" t="s">
        <v>19</v>
      </c>
      <c r="G42" s="295"/>
      <c r="H42" s="343" t="s">
        <v>69</v>
      </c>
      <c r="I42" s="344"/>
      <c r="J42" s="344"/>
      <c r="K42" s="344"/>
      <c r="L42" s="345"/>
      <c r="O42" s="32"/>
    </row>
    <row r="43" spans="1:15" ht="115.5" customHeight="1" thickBot="1" x14ac:dyDescent="0.25">
      <c r="A43" s="303" t="s">
        <v>164</v>
      </c>
      <c r="B43" s="304"/>
      <c r="C43" s="304"/>
      <c r="D43" s="304"/>
      <c r="E43" s="304"/>
      <c r="F43" s="305" t="s">
        <v>165</v>
      </c>
      <c r="G43" s="306"/>
      <c r="H43" s="307"/>
      <c r="I43" s="310"/>
      <c r="J43" s="310"/>
      <c r="K43" s="310"/>
      <c r="L43" s="311"/>
    </row>
    <row r="44" spans="1:15" ht="115.5" customHeight="1" thickBot="1" x14ac:dyDescent="0.25">
      <c r="A44" s="303"/>
      <c r="B44" s="304"/>
      <c r="C44" s="304"/>
      <c r="D44" s="304"/>
      <c r="E44" s="304"/>
      <c r="F44" s="305"/>
      <c r="G44" s="306"/>
      <c r="H44" s="307"/>
      <c r="I44" s="310"/>
      <c r="J44" s="310"/>
      <c r="K44" s="310"/>
      <c r="L44" s="311"/>
    </row>
    <row r="45" spans="1:15" ht="115.5" customHeight="1" thickBot="1" x14ac:dyDescent="0.25">
      <c r="A45" s="369"/>
      <c r="B45" s="304"/>
      <c r="C45" s="304"/>
      <c r="D45" s="304"/>
      <c r="E45" s="304"/>
      <c r="F45" s="305"/>
      <c r="G45" s="306"/>
      <c r="H45" s="370"/>
      <c r="I45" s="310"/>
      <c r="J45" s="310"/>
      <c r="K45" s="310"/>
      <c r="L45" s="311"/>
    </row>
    <row r="47" spans="1:15" ht="24.75" customHeight="1" thickBot="1" x14ac:dyDescent="0.25">
      <c r="A47" s="50" t="s">
        <v>64</v>
      </c>
      <c r="O47" s="32"/>
    </row>
    <row r="48" spans="1:15" ht="24.75" customHeight="1" thickBot="1" x14ac:dyDescent="0.25">
      <c r="A48" s="292" t="s">
        <v>18</v>
      </c>
      <c r="B48" s="293"/>
      <c r="C48" s="293"/>
      <c r="D48" s="293"/>
      <c r="E48" s="293"/>
      <c r="F48" s="343" t="s">
        <v>65</v>
      </c>
      <c r="G48" s="295"/>
      <c r="H48" s="341" t="s">
        <v>66</v>
      </c>
      <c r="I48" s="342"/>
      <c r="J48" s="343" t="s">
        <v>67</v>
      </c>
      <c r="K48" s="344"/>
      <c r="L48" s="344"/>
      <c r="M48" s="344"/>
      <c r="N48" s="345"/>
      <c r="O48" s="32"/>
    </row>
    <row r="49" spans="1:14" ht="38.25" customHeight="1" thickBot="1" x14ac:dyDescent="0.25">
      <c r="A49" s="319" t="s">
        <v>132</v>
      </c>
      <c r="B49" s="320"/>
      <c r="C49" s="320"/>
      <c r="D49" s="320"/>
      <c r="E49" s="321"/>
      <c r="F49" s="322">
        <v>42278</v>
      </c>
      <c r="G49" s="323"/>
      <c r="H49" s="324" t="s">
        <v>158</v>
      </c>
      <c r="I49" s="325"/>
      <c r="J49" s="307" t="s">
        <v>159</v>
      </c>
      <c r="K49" s="308"/>
      <c r="L49" s="308"/>
      <c r="M49" s="308"/>
      <c r="N49" s="309"/>
    </row>
    <row r="50" spans="1:14" ht="38.25" customHeight="1" x14ac:dyDescent="0.2">
      <c r="A50" s="312" t="s">
        <v>133</v>
      </c>
      <c r="B50" s="313"/>
      <c r="C50" s="313"/>
      <c r="D50" s="313"/>
      <c r="E50" s="313"/>
      <c r="F50" s="335">
        <v>42156</v>
      </c>
      <c r="G50" s="336"/>
      <c r="H50" s="340" t="s">
        <v>160</v>
      </c>
      <c r="I50" s="325"/>
      <c r="J50" s="316" t="s">
        <v>134</v>
      </c>
      <c r="K50" s="317"/>
      <c r="L50" s="317"/>
      <c r="M50" s="317"/>
      <c r="N50" s="318"/>
    </row>
    <row r="53" spans="1:14" ht="13.5" thickBot="1" x14ac:dyDescent="0.25">
      <c r="A53" s="327"/>
      <c r="B53" s="304"/>
      <c r="C53" s="304"/>
      <c r="D53" s="304"/>
      <c r="E53" s="304"/>
      <c r="F53" s="305"/>
      <c r="G53" s="306"/>
      <c r="H53" s="328"/>
      <c r="I53" s="329"/>
      <c r="J53" s="330"/>
      <c r="K53" s="331"/>
      <c r="L53" s="331"/>
      <c r="M53" s="331"/>
      <c r="N53" s="332"/>
    </row>
    <row r="54" spans="1:14" ht="13.5" thickBot="1" x14ac:dyDescent="0.25">
      <c r="A54" s="50" t="s">
        <v>68</v>
      </c>
    </row>
    <row r="55" spans="1:14" ht="13.5" thickBot="1" x14ac:dyDescent="0.25">
      <c r="A55" s="292" t="s">
        <v>18</v>
      </c>
      <c r="B55" s="293"/>
      <c r="C55" s="293"/>
      <c r="D55" s="293"/>
      <c r="E55" s="293"/>
      <c r="F55" s="294" t="s">
        <v>19</v>
      </c>
      <c r="G55" s="295"/>
      <c r="H55" s="294" t="s">
        <v>20</v>
      </c>
      <c r="I55" s="293"/>
      <c r="J55" s="293"/>
      <c r="K55" s="293"/>
      <c r="L55" s="326"/>
    </row>
    <row r="56" spans="1:14" ht="13.5" customHeight="1" thickBot="1" x14ac:dyDescent="0.25">
      <c r="A56" s="312" t="s">
        <v>167</v>
      </c>
      <c r="B56" s="313"/>
      <c r="C56" s="313"/>
      <c r="D56" s="313"/>
      <c r="E56" s="313"/>
      <c r="F56" s="314">
        <v>42552</v>
      </c>
      <c r="G56" s="315"/>
      <c r="H56" s="367"/>
      <c r="I56" s="317"/>
      <c r="J56" s="317"/>
      <c r="K56" s="317"/>
      <c r="L56" s="318"/>
    </row>
    <row r="57" spans="1:14" ht="32.25" customHeight="1" x14ac:dyDescent="0.2">
      <c r="A57" s="312" t="s">
        <v>166</v>
      </c>
      <c r="B57" s="313"/>
      <c r="C57" s="313"/>
      <c r="D57" s="313"/>
      <c r="E57" s="313"/>
      <c r="F57" s="314">
        <v>42644</v>
      </c>
      <c r="G57" s="315"/>
      <c r="H57" s="316" t="s">
        <v>171</v>
      </c>
      <c r="I57" s="317"/>
      <c r="J57" s="317"/>
      <c r="K57" s="317"/>
      <c r="L57" s="318"/>
    </row>
  </sheetData>
  <mergeCells count="89">
    <mergeCell ref="F56:G56"/>
    <mergeCell ref="H56:L56"/>
    <mergeCell ref="A32:E32"/>
    <mergeCell ref="F32:J32"/>
    <mergeCell ref="F35:G35"/>
    <mergeCell ref="A36:E36"/>
    <mergeCell ref="F36:G36"/>
    <mergeCell ref="H36:L36"/>
    <mergeCell ref="A35:E35"/>
    <mergeCell ref="H35:L35"/>
    <mergeCell ref="J48:N48"/>
    <mergeCell ref="F48:G48"/>
    <mergeCell ref="A45:E45"/>
    <mergeCell ref="F45:G45"/>
    <mergeCell ref="H45:L45"/>
    <mergeCell ref="H44:L44"/>
    <mergeCell ref="A28:E28"/>
    <mergeCell ref="F28:J28"/>
    <mergeCell ref="A30:E30"/>
    <mergeCell ref="F30:J30"/>
    <mergeCell ref="A31:E31"/>
    <mergeCell ref="F31:J31"/>
    <mergeCell ref="A29:E29"/>
    <mergeCell ref="F29:J29"/>
    <mergeCell ref="B14:F14"/>
    <mergeCell ref="G14:K14"/>
    <mergeCell ref="B15:F15"/>
    <mergeCell ref="G15:K15"/>
    <mergeCell ref="F25:J25"/>
    <mergeCell ref="A25:E25"/>
    <mergeCell ref="F24:J24"/>
    <mergeCell ref="F23:J23"/>
    <mergeCell ref="A23:E23"/>
    <mergeCell ref="G16:K16"/>
    <mergeCell ref="A24:E24"/>
    <mergeCell ref="G19:K19"/>
    <mergeCell ref="B19:F19"/>
    <mergeCell ref="B18:F18"/>
    <mergeCell ref="G18:K18"/>
    <mergeCell ref="G8:K8"/>
    <mergeCell ref="B9:F9"/>
    <mergeCell ref="G9:K9"/>
    <mergeCell ref="B8:F8"/>
    <mergeCell ref="G12:K12"/>
    <mergeCell ref="B13:F13"/>
    <mergeCell ref="B16:F16"/>
    <mergeCell ref="F50:G50"/>
    <mergeCell ref="B10:F10"/>
    <mergeCell ref="G10:K10"/>
    <mergeCell ref="G13:K13"/>
    <mergeCell ref="B11:F11"/>
    <mergeCell ref="G11:K11"/>
    <mergeCell ref="B12:F12"/>
    <mergeCell ref="H50:I50"/>
    <mergeCell ref="J50:N50"/>
    <mergeCell ref="H48:I48"/>
    <mergeCell ref="H42:L42"/>
    <mergeCell ref="B17:F17"/>
    <mergeCell ref="G17:K17"/>
    <mergeCell ref="A48:E48"/>
    <mergeCell ref="A57:E57"/>
    <mergeCell ref="F57:G57"/>
    <mergeCell ref="H57:L57"/>
    <mergeCell ref="A49:E49"/>
    <mergeCell ref="F49:G49"/>
    <mergeCell ref="H49:I49"/>
    <mergeCell ref="J49:N49"/>
    <mergeCell ref="F53:G53"/>
    <mergeCell ref="A50:E50"/>
    <mergeCell ref="A55:E55"/>
    <mergeCell ref="F55:G55"/>
    <mergeCell ref="H55:L55"/>
    <mergeCell ref="A53:E53"/>
    <mergeCell ref="H53:I53"/>
    <mergeCell ref="J53:N53"/>
    <mergeCell ref="A56:E56"/>
    <mergeCell ref="H43:L43"/>
    <mergeCell ref="A44:E44"/>
    <mergeCell ref="F44:G44"/>
    <mergeCell ref="A43:E43"/>
    <mergeCell ref="F43:G43"/>
    <mergeCell ref="A42:E42"/>
    <mergeCell ref="F42:G42"/>
    <mergeCell ref="A37:E37"/>
    <mergeCell ref="F37:G37"/>
    <mergeCell ref="H37:L37"/>
    <mergeCell ref="A38:E38"/>
    <mergeCell ref="F38:G38"/>
    <mergeCell ref="H38:L38"/>
  </mergeCells>
  <phoneticPr fontId="0" type="noConversion"/>
  <pageMargins left="0.74803149606299213" right="0.74803149606299213" top="0.98425196850393704" bottom="0.98425196850393704" header="0.51181102362204722" footer="0.51181102362204722"/>
  <pageSetup scale="56" fitToHeight="3" orientation="portrait" r:id="rId1"/>
  <headerFooter alignWithMargins="0"/>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8"/>
  <sheetViews>
    <sheetView topLeftCell="A38" zoomScale="80" zoomScaleNormal="80" zoomScalePageLayoutView="90" workbookViewId="0">
      <selection activeCell="F43" sqref="A43:G43"/>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71" t="s">
        <v>246</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352" t="s">
        <v>11</v>
      </c>
      <c r="C8" s="346"/>
      <c r="D8" s="346"/>
      <c r="E8" s="346"/>
      <c r="F8" s="347"/>
      <c r="G8" s="346" t="s">
        <v>12</v>
      </c>
      <c r="H8" s="346"/>
      <c r="I8" s="346"/>
      <c r="J8" s="346"/>
      <c r="K8" s="347"/>
    </row>
    <row r="9" spans="1:14" ht="122.25" customHeight="1" x14ac:dyDescent="0.2">
      <c r="A9" s="64" t="s">
        <v>58</v>
      </c>
      <c r="B9" s="348"/>
      <c r="C9" s="349"/>
      <c r="D9" s="349"/>
      <c r="E9" s="349"/>
      <c r="F9" s="349"/>
      <c r="G9" s="350"/>
      <c r="H9" s="350"/>
      <c r="I9" s="350"/>
      <c r="J9" s="350"/>
      <c r="K9" s="351"/>
      <c r="N9" s="163"/>
    </row>
    <row r="10" spans="1:14" ht="217.5" customHeight="1" x14ac:dyDescent="0.2">
      <c r="A10" s="65" t="s">
        <v>52</v>
      </c>
      <c r="B10" s="333" t="s">
        <v>190</v>
      </c>
      <c r="C10" s="334"/>
      <c r="D10" s="334"/>
      <c r="E10" s="334"/>
      <c r="F10" s="334"/>
      <c r="G10" s="337"/>
      <c r="H10" s="337"/>
      <c r="I10" s="337"/>
      <c r="J10" s="337"/>
      <c r="K10" s="338"/>
    </row>
    <row r="11" spans="1:14" ht="143.25" customHeight="1" x14ac:dyDescent="0.2">
      <c r="A11" s="65" t="s">
        <v>48</v>
      </c>
      <c r="B11" s="333" t="s">
        <v>198</v>
      </c>
      <c r="C11" s="334"/>
      <c r="D11" s="334"/>
      <c r="E11" s="334"/>
      <c r="F11" s="334"/>
      <c r="G11" s="337" t="s">
        <v>199</v>
      </c>
      <c r="H11" s="337"/>
      <c r="I11" s="337"/>
      <c r="J11" s="337"/>
      <c r="K11" s="338"/>
    </row>
    <row r="12" spans="1:14" ht="194.25" customHeight="1" x14ac:dyDescent="0.2">
      <c r="A12" s="65" t="s">
        <v>60</v>
      </c>
      <c r="B12" s="333" t="s">
        <v>197</v>
      </c>
      <c r="C12" s="334"/>
      <c r="D12" s="334"/>
      <c r="E12" s="334"/>
      <c r="F12" s="334"/>
      <c r="G12" s="337"/>
      <c r="H12" s="337"/>
      <c r="I12" s="337"/>
      <c r="J12" s="337"/>
      <c r="K12" s="338"/>
    </row>
    <row r="13" spans="1:14" ht="243.75" customHeight="1" x14ac:dyDescent="0.2">
      <c r="A13" s="65" t="s">
        <v>59</v>
      </c>
      <c r="B13" s="333" t="s">
        <v>188</v>
      </c>
      <c r="C13" s="334"/>
      <c r="D13" s="334"/>
      <c r="E13" s="334"/>
      <c r="F13" s="334"/>
      <c r="G13" s="334" t="s">
        <v>187</v>
      </c>
      <c r="H13" s="334"/>
      <c r="I13" s="334"/>
      <c r="J13" s="334"/>
      <c r="K13" s="339"/>
    </row>
    <row r="14" spans="1:14" ht="129.75" customHeight="1" x14ac:dyDescent="0.2">
      <c r="A14" s="65" t="s">
        <v>74</v>
      </c>
      <c r="B14" s="333" t="s">
        <v>192</v>
      </c>
      <c r="C14" s="334"/>
      <c r="D14" s="334"/>
      <c r="E14" s="334"/>
      <c r="F14" s="334"/>
      <c r="G14" s="334"/>
      <c r="H14" s="334"/>
      <c r="I14" s="334"/>
      <c r="J14" s="334"/>
      <c r="K14" s="339"/>
    </row>
    <row r="15" spans="1:14" ht="134.25" customHeight="1" x14ac:dyDescent="0.2">
      <c r="A15" s="66" t="s">
        <v>70</v>
      </c>
      <c r="B15" s="333" t="s">
        <v>189</v>
      </c>
      <c r="C15" s="334"/>
      <c r="D15" s="334"/>
      <c r="E15" s="334"/>
      <c r="F15" s="334"/>
      <c r="G15" s="334" t="s">
        <v>196</v>
      </c>
      <c r="H15" s="334"/>
      <c r="I15" s="334"/>
      <c r="J15" s="334"/>
      <c r="K15" s="339"/>
    </row>
    <row r="16" spans="1:14" ht="212.25" customHeight="1" x14ac:dyDescent="0.2">
      <c r="A16" s="65" t="s">
        <v>1</v>
      </c>
      <c r="B16" s="333"/>
      <c r="C16" s="334"/>
      <c r="D16" s="334"/>
      <c r="E16" s="334"/>
      <c r="F16" s="334"/>
      <c r="G16" s="334"/>
      <c r="H16" s="334"/>
      <c r="I16" s="334"/>
      <c r="J16" s="334"/>
      <c r="K16" s="339"/>
    </row>
    <row r="17" spans="1:11" ht="158.25" customHeight="1" x14ac:dyDescent="0.2">
      <c r="A17" s="65" t="s">
        <v>51</v>
      </c>
      <c r="B17" s="333"/>
      <c r="C17" s="334"/>
      <c r="D17" s="334"/>
      <c r="E17" s="334"/>
      <c r="F17" s="334"/>
      <c r="G17" s="334" t="s">
        <v>193</v>
      </c>
      <c r="H17" s="334"/>
      <c r="I17" s="334"/>
      <c r="J17" s="334"/>
      <c r="K17" s="339"/>
    </row>
    <row r="18" spans="1:11" ht="146.25" customHeight="1" thickBot="1" x14ac:dyDescent="0.25">
      <c r="A18" s="67" t="s">
        <v>110</v>
      </c>
      <c r="B18" s="363"/>
      <c r="C18" s="361"/>
      <c r="D18" s="361"/>
      <c r="E18" s="361"/>
      <c r="F18" s="364"/>
      <c r="G18" s="360" t="s">
        <v>191</v>
      </c>
      <c r="H18" s="361"/>
      <c r="I18" s="361"/>
      <c r="J18" s="361"/>
      <c r="K18" s="362"/>
    </row>
    <row r="19" spans="1:11" ht="127.5" customHeight="1" thickBot="1" x14ac:dyDescent="0.25">
      <c r="A19" s="67" t="s">
        <v>111</v>
      </c>
      <c r="B19" s="363"/>
      <c r="C19" s="361"/>
      <c r="D19" s="361"/>
      <c r="E19" s="361"/>
      <c r="F19" s="364"/>
      <c r="G19" s="360" t="s">
        <v>194</v>
      </c>
      <c r="H19" s="361"/>
      <c r="I19" s="361"/>
      <c r="J19" s="361"/>
      <c r="K19" s="362"/>
    </row>
    <row r="20" spans="1:11" x14ac:dyDescent="0.2">
      <c r="A20" s="30" t="s">
        <v>15</v>
      </c>
      <c r="B20" s="30"/>
      <c r="C20" s="30"/>
      <c r="D20" s="30"/>
      <c r="E20" s="30"/>
      <c r="F20" s="30"/>
      <c r="G20" s="30"/>
      <c r="H20" s="30"/>
      <c r="I20" s="30"/>
      <c r="J20" s="30"/>
      <c r="K20" s="30"/>
    </row>
    <row r="21" spans="1:11" x14ac:dyDescent="0.2">
      <c r="A21" s="30"/>
      <c r="B21" s="30"/>
      <c r="C21" s="30"/>
      <c r="D21" s="30"/>
      <c r="E21" s="30"/>
      <c r="F21" s="30"/>
      <c r="G21" s="30"/>
      <c r="H21" s="30"/>
      <c r="I21" s="30"/>
      <c r="J21" s="30"/>
      <c r="K21" s="30"/>
    </row>
    <row r="22" spans="1:11" ht="13.5" thickBot="1" x14ac:dyDescent="0.25">
      <c r="A22" s="1" t="s">
        <v>13</v>
      </c>
    </row>
    <row r="23" spans="1:11" ht="13.5" thickBot="1" x14ac:dyDescent="0.25">
      <c r="A23" s="292" t="s">
        <v>14</v>
      </c>
      <c r="B23" s="293"/>
      <c r="C23" s="293"/>
      <c r="D23" s="293"/>
      <c r="E23" s="293"/>
      <c r="F23" s="293" t="s">
        <v>16</v>
      </c>
      <c r="G23" s="293"/>
      <c r="H23" s="293"/>
      <c r="I23" s="293"/>
      <c r="J23" s="326"/>
    </row>
    <row r="24" spans="1:11" ht="81" customHeight="1" thickBot="1" x14ac:dyDescent="0.25">
      <c r="A24" s="319" t="s">
        <v>135</v>
      </c>
      <c r="B24" s="357"/>
      <c r="C24" s="357"/>
      <c r="D24" s="357"/>
      <c r="E24" s="359"/>
      <c r="F24" s="307" t="s">
        <v>136</v>
      </c>
      <c r="G24" s="357"/>
      <c r="H24" s="357"/>
      <c r="I24" s="357"/>
      <c r="J24" s="358"/>
    </row>
    <row r="25" spans="1:11" ht="13.5" thickBot="1" x14ac:dyDescent="0.25">
      <c r="A25" s="355"/>
      <c r="B25" s="331"/>
      <c r="C25" s="331"/>
      <c r="D25" s="331"/>
      <c r="E25" s="356"/>
      <c r="F25" s="353"/>
      <c r="G25" s="353"/>
      <c r="H25" s="353"/>
      <c r="I25" s="353"/>
      <c r="J25" s="354"/>
    </row>
    <row r="27" spans="1:11" ht="13.5" thickBot="1" x14ac:dyDescent="0.25">
      <c r="A27" s="1" t="s">
        <v>43</v>
      </c>
    </row>
    <row r="28" spans="1:11" ht="13.5" thickBot="1" x14ac:dyDescent="0.25">
      <c r="A28" s="292" t="s">
        <v>14</v>
      </c>
      <c r="B28" s="293"/>
      <c r="C28" s="293"/>
      <c r="D28" s="293"/>
      <c r="E28" s="293"/>
      <c r="F28" s="293" t="s">
        <v>16</v>
      </c>
      <c r="G28" s="293"/>
      <c r="H28" s="293"/>
      <c r="I28" s="293"/>
      <c r="J28" s="326"/>
    </row>
    <row r="29" spans="1:11" ht="86.25" customHeight="1" thickBot="1" x14ac:dyDescent="0.25">
      <c r="A29" s="312" t="s">
        <v>157</v>
      </c>
      <c r="B29" s="313"/>
      <c r="C29" s="313"/>
      <c r="D29" s="313"/>
      <c r="E29" s="313"/>
      <c r="F29" s="316" t="s">
        <v>142</v>
      </c>
      <c r="G29" s="365"/>
      <c r="H29" s="365"/>
      <c r="I29" s="365"/>
      <c r="J29" s="366"/>
    </row>
    <row r="30" spans="1:11" ht="93" customHeight="1" thickBot="1" x14ac:dyDescent="0.25">
      <c r="A30" s="312" t="s">
        <v>144</v>
      </c>
      <c r="B30" s="313"/>
      <c r="C30" s="313"/>
      <c r="D30" s="313"/>
      <c r="E30" s="313"/>
      <c r="F30" s="316" t="s">
        <v>195</v>
      </c>
      <c r="G30" s="365"/>
      <c r="H30" s="365"/>
      <c r="I30" s="365"/>
      <c r="J30" s="366"/>
    </row>
    <row r="31" spans="1:11" ht="135" customHeight="1" thickBot="1" x14ac:dyDescent="0.25">
      <c r="A31" s="312" t="s">
        <v>141</v>
      </c>
      <c r="B31" s="313"/>
      <c r="C31" s="313"/>
      <c r="D31" s="313"/>
      <c r="E31" s="313"/>
      <c r="F31" s="316" t="s">
        <v>143</v>
      </c>
      <c r="G31" s="365"/>
      <c r="H31" s="365"/>
      <c r="I31" s="365"/>
      <c r="J31" s="366"/>
    </row>
    <row r="32" spans="1:11" ht="166.5" customHeight="1" thickBot="1" x14ac:dyDescent="0.25">
      <c r="A32" s="319" t="s">
        <v>130</v>
      </c>
      <c r="B32" s="357"/>
      <c r="C32" s="357"/>
      <c r="D32" s="357"/>
      <c r="E32" s="359"/>
      <c r="F32" s="307" t="s">
        <v>168</v>
      </c>
      <c r="G32" s="357"/>
      <c r="H32" s="357"/>
      <c r="I32" s="357"/>
      <c r="J32" s="358"/>
    </row>
    <row r="34" spans="1:15" ht="13.5" thickBot="1" x14ac:dyDescent="0.25">
      <c r="A34" s="1" t="s">
        <v>17</v>
      </c>
    </row>
    <row r="35" spans="1:15" ht="13.5" thickBot="1" x14ac:dyDescent="0.25">
      <c r="A35" s="292" t="s">
        <v>18</v>
      </c>
      <c r="B35" s="293"/>
      <c r="C35" s="293"/>
      <c r="D35" s="293"/>
      <c r="E35" s="293"/>
      <c r="F35" s="294" t="s">
        <v>19</v>
      </c>
      <c r="G35" s="295"/>
      <c r="H35" s="294" t="s">
        <v>20</v>
      </c>
      <c r="I35" s="293"/>
      <c r="J35" s="293"/>
      <c r="K35" s="293"/>
      <c r="L35" s="326"/>
    </row>
    <row r="36" spans="1:15" ht="42.75" customHeight="1" thickBot="1" x14ac:dyDescent="0.25">
      <c r="A36" s="296" t="s">
        <v>164</v>
      </c>
      <c r="B36" s="297"/>
      <c r="C36" s="297"/>
      <c r="D36" s="297"/>
      <c r="E36" s="297"/>
      <c r="F36" s="368" t="s">
        <v>165</v>
      </c>
      <c r="G36" s="299"/>
      <c r="H36" s="300" t="s">
        <v>200</v>
      </c>
      <c r="I36" s="301"/>
      <c r="J36" s="301"/>
      <c r="K36" s="301"/>
      <c r="L36" s="302"/>
    </row>
    <row r="37" spans="1:15" ht="42.75" customHeight="1" thickBot="1" x14ac:dyDescent="0.25">
      <c r="A37" s="296"/>
      <c r="B37" s="297"/>
      <c r="C37" s="297"/>
      <c r="D37" s="297"/>
      <c r="E37" s="297"/>
      <c r="F37" s="298"/>
      <c r="G37" s="299"/>
      <c r="H37" s="300"/>
      <c r="I37" s="301"/>
      <c r="J37" s="301"/>
      <c r="K37" s="301"/>
      <c r="L37" s="302"/>
    </row>
    <row r="38" spans="1:15" ht="42.75" customHeight="1" thickBot="1" x14ac:dyDescent="0.25">
      <c r="A38" s="303"/>
      <c r="B38" s="304"/>
      <c r="C38" s="304"/>
      <c r="D38" s="304"/>
      <c r="E38" s="304"/>
      <c r="F38" s="305"/>
      <c r="G38" s="306"/>
      <c r="H38" s="307"/>
      <c r="I38" s="308"/>
      <c r="J38" s="308"/>
      <c r="K38" s="308"/>
      <c r="L38" s="309"/>
    </row>
    <row r="39" spans="1:15" ht="12" customHeight="1" thickBot="1" x14ac:dyDescent="0.25">
      <c r="A39" s="58"/>
      <c r="B39" s="179"/>
      <c r="C39" s="179"/>
      <c r="D39" s="179"/>
      <c r="E39" s="180"/>
      <c r="F39" s="175"/>
      <c r="G39" s="176"/>
      <c r="H39" s="55"/>
      <c r="I39" s="177"/>
      <c r="J39" s="177"/>
      <c r="K39" s="177"/>
      <c r="L39" s="178"/>
    </row>
    <row r="40" spans="1:15" ht="24.75" customHeight="1" x14ac:dyDescent="0.2">
      <c r="O40" s="32"/>
    </row>
    <row r="41" spans="1:15" ht="24.75" customHeight="1" thickBot="1" x14ac:dyDescent="0.25">
      <c r="A41" s="1" t="s">
        <v>21</v>
      </c>
      <c r="O41" s="32"/>
    </row>
    <row r="42" spans="1:15" ht="24.75" customHeight="1" thickBot="1" x14ac:dyDescent="0.25">
      <c r="A42" s="292" t="s">
        <v>18</v>
      </c>
      <c r="B42" s="293"/>
      <c r="C42" s="293"/>
      <c r="D42" s="293"/>
      <c r="E42" s="293"/>
      <c r="F42" s="294" t="s">
        <v>19</v>
      </c>
      <c r="G42" s="295"/>
      <c r="H42" s="343" t="s">
        <v>69</v>
      </c>
      <c r="I42" s="344"/>
      <c r="J42" s="344"/>
      <c r="K42" s="344"/>
      <c r="L42" s="345"/>
      <c r="O42" s="32"/>
    </row>
    <row r="43" spans="1:15" ht="115.5" customHeight="1" thickBot="1" x14ac:dyDescent="0.25">
      <c r="A43" s="303" t="s">
        <v>127</v>
      </c>
      <c r="B43" s="304"/>
      <c r="C43" s="304"/>
      <c r="D43" s="304"/>
      <c r="E43" s="304"/>
      <c r="F43" s="371" t="s">
        <v>201</v>
      </c>
      <c r="G43" s="306"/>
      <c r="H43" s="307"/>
      <c r="I43" s="310"/>
      <c r="J43" s="310"/>
      <c r="K43" s="310"/>
      <c r="L43" s="311"/>
    </row>
    <row r="44" spans="1:15" ht="115.5" customHeight="1" thickBot="1" x14ac:dyDescent="0.25">
      <c r="A44" s="303"/>
      <c r="B44" s="304"/>
      <c r="C44" s="304"/>
      <c r="D44" s="304"/>
      <c r="E44" s="304"/>
      <c r="F44" s="305"/>
      <c r="G44" s="306"/>
      <c r="H44" s="307"/>
      <c r="I44" s="310"/>
      <c r="J44" s="310"/>
      <c r="K44" s="310"/>
      <c r="L44" s="311"/>
    </row>
    <row r="45" spans="1:15" ht="115.5" customHeight="1" thickBot="1" x14ac:dyDescent="0.25">
      <c r="A45" s="369"/>
      <c r="B45" s="304"/>
      <c r="C45" s="304"/>
      <c r="D45" s="304"/>
      <c r="E45" s="304"/>
      <c r="F45" s="305"/>
      <c r="G45" s="306"/>
      <c r="H45" s="370"/>
      <c r="I45" s="310"/>
      <c r="J45" s="310"/>
      <c r="K45" s="310"/>
      <c r="L45" s="311"/>
    </row>
    <row r="47" spans="1:15" ht="24.75" customHeight="1" thickBot="1" x14ac:dyDescent="0.25">
      <c r="A47" s="50" t="s">
        <v>64</v>
      </c>
      <c r="O47" s="32"/>
    </row>
    <row r="48" spans="1:15" ht="24.75" customHeight="1" thickBot="1" x14ac:dyDescent="0.25">
      <c r="A48" s="292" t="s">
        <v>18</v>
      </c>
      <c r="B48" s="293"/>
      <c r="C48" s="293"/>
      <c r="D48" s="293"/>
      <c r="E48" s="293"/>
      <c r="F48" s="343" t="s">
        <v>65</v>
      </c>
      <c r="G48" s="295"/>
      <c r="H48" s="341" t="s">
        <v>66</v>
      </c>
      <c r="I48" s="342"/>
      <c r="J48" s="343" t="s">
        <v>67</v>
      </c>
      <c r="K48" s="344"/>
      <c r="L48" s="344"/>
      <c r="M48" s="344"/>
      <c r="N48" s="345"/>
      <c r="O48" s="32"/>
    </row>
    <row r="49" spans="1:14" ht="38.25" customHeight="1" thickBot="1" x14ac:dyDescent="0.25">
      <c r="A49" s="319" t="s">
        <v>132</v>
      </c>
      <c r="B49" s="320"/>
      <c r="C49" s="320"/>
      <c r="D49" s="320"/>
      <c r="E49" s="321"/>
      <c r="F49" s="322">
        <v>42278</v>
      </c>
      <c r="G49" s="323"/>
      <c r="H49" s="324" t="s">
        <v>158</v>
      </c>
      <c r="I49" s="325"/>
      <c r="J49" s="307" t="s">
        <v>159</v>
      </c>
      <c r="K49" s="308"/>
      <c r="L49" s="308"/>
      <c r="M49" s="308"/>
      <c r="N49" s="309"/>
    </row>
    <row r="50" spans="1:14" ht="38.25" customHeight="1" x14ac:dyDescent="0.2">
      <c r="A50" s="312" t="s">
        <v>133</v>
      </c>
      <c r="B50" s="313"/>
      <c r="C50" s="313"/>
      <c r="D50" s="313"/>
      <c r="E50" s="313"/>
      <c r="F50" s="335">
        <v>42156</v>
      </c>
      <c r="G50" s="336"/>
      <c r="H50" s="340" t="s">
        <v>160</v>
      </c>
      <c r="I50" s="325"/>
      <c r="J50" s="316" t="s">
        <v>134</v>
      </c>
      <c r="K50" s="317"/>
      <c r="L50" s="317"/>
      <c r="M50" s="317"/>
      <c r="N50" s="318"/>
    </row>
    <row r="53" spans="1:14" ht="13.5" thickBot="1" x14ac:dyDescent="0.25">
      <c r="A53" s="327"/>
      <c r="B53" s="304"/>
      <c r="C53" s="304"/>
      <c r="D53" s="304"/>
      <c r="E53" s="304"/>
      <c r="F53" s="305"/>
      <c r="G53" s="306"/>
      <c r="H53" s="328"/>
      <c r="I53" s="329"/>
      <c r="J53" s="330"/>
      <c r="K53" s="331"/>
      <c r="L53" s="331"/>
      <c r="M53" s="331"/>
      <c r="N53" s="332"/>
    </row>
    <row r="54" spans="1:14" ht="13.5" thickBot="1" x14ac:dyDescent="0.25">
      <c r="A54" s="50" t="s">
        <v>68</v>
      </c>
    </row>
    <row r="55" spans="1:14" ht="13.5" thickBot="1" x14ac:dyDescent="0.25">
      <c r="A55" s="292" t="s">
        <v>18</v>
      </c>
      <c r="B55" s="293"/>
      <c r="C55" s="293"/>
      <c r="D55" s="293"/>
      <c r="E55" s="293"/>
      <c r="F55" s="294" t="s">
        <v>19</v>
      </c>
      <c r="G55" s="295"/>
      <c r="H55" s="294" t="s">
        <v>20</v>
      </c>
      <c r="I55" s="293"/>
      <c r="J55" s="293"/>
      <c r="K55" s="293"/>
      <c r="L55" s="326"/>
    </row>
    <row r="56" spans="1:14" ht="13.5" customHeight="1" thickBot="1" x14ac:dyDescent="0.25">
      <c r="A56" s="312" t="s">
        <v>167</v>
      </c>
      <c r="B56" s="313"/>
      <c r="C56" s="313"/>
      <c r="D56" s="313"/>
      <c r="E56" s="313"/>
      <c r="F56" s="314">
        <v>42552</v>
      </c>
      <c r="G56" s="315"/>
      <c r="H56" s="367"/>
      <c r="I56" s="317"/>
      <c r="J56" s="317"/>
      <c r="K56" s="317"/>
      <c r="L56" s="318"/>
    </row>
    <row r="57" spans="1:14" ht="32.25" customHeight="1" thickBot="1" x14ac:dyDescent="0.25">
      <c r="A57" s="312" t="s">
        <v>166</v>
      </c>
      <c r="B57" s="313"/>
      <c r="C57" s="313"/>
      <c r="D57" s="313"/>
      <c r="E57" s="313"/>
      <c r="F57" s="314">
        <v>42644</v>
      </c>
      <c r="G57" s="315"/>
      <c r="H57" s="316" t="s">
        <v>171</v>
      </c>
      <c r="I57" s="317"/>
      <c r="J57" s="317"/>
      <c r="K57" s="317"/>
      <c r="L57" s="318"/>
    </row>
    <row r="58" spans="1:14" x14ac:dyDescent="0.2">
      <c r="A58" s="312" t="s">
        <v>126</v>
      </c>
      <c r="B58" s="313"/>
      <c r="C58" s="313"/>
      <c r="D58" s="313"/>
      <c r="E58" s="313"/>
      <c r="F58" s="314">
        <v>42795</v>
      </c>
      <c r="G58" s="315"/>
      <c r="H58" s="316"/>
      <c r="I58" s="317"/>
      <c r="J58" s="317"/>
      <c r="K58" s="317"/>
      <c r="L58" s="318"/>
    </row>
  </sheetData>
  <mergeCells count="92">
    <mergeCell ref="A58:E58"/>
    <mergeCell ref="F58:G58"/>
    <mergeCell ref="H58:L58"/>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B16:F16"/>
    <mergeCell ref="G16:K16"/>
    <mergeCell ref="B17:F17"/>
    <mergeCell ref="G17:K17"/>
    <mergeCell ref="B18:F18"/>
    <mergeCell ref="G18:K18"/>
    <mergeCell ref="B19:F19"/>
    <mergeCell ref="G19:K19"/>
    <mergeCell ref="A23:E23"/>
    <mergeCell ref="F23:J23"/>
    <mergeCell ref="A24:E24"/>
    <mergeCell ref="F24:J24"/>
    <mergeCell ref="A25:E25"/>
    <mergeCell ref="F25:J25"/>
    <mergeCell ref="A28:E28"/>
    <mergeCell ref="F28:J28"/>
    <mergeCell ref="A29:E29"/>
    <mergeCell ref="F29:J29"/>
    <mergeCell ref="A30:E30"/>
    <mergeCell ref="F30:J30"/>
    <mergeCell ref="A31:E31"/>
    <mergeCell ref="F31:J31"/>
    <mergeCell ref="A32:E32"/>
    <mergeCell ref="F32:J32"/>
    <mergeCell ref="A35:E35"/>
    <mergeCell ref="F35:G35"/>
    <mergeCell ref="H35:L35"/>
    <mergeCell ref="A36:E36"/>
    <mergeCell ref="F36:G36"/>
    <mergeCell ref="H36:L36"/>
    <mergeCell ref="A37:E37"/>
    <mergeCell ref="F37:G37"/>
    <mergeCell ref="H37:L37"/>
    <mergeCell ref="A38:E38"/>
    <mergeCell ref="F38:G38"/>
    <mergeCell ref="H38:L38"/>
    <mergeCell ref="A42:E42"/>
    <mergeCell ref="F42:G42"/>
    <mergeCell ref="H42:L42"/>
    <mergeCell ref="A43:E43"/>
    <mergeCell ref="F43:G43"/>
    <mergeCell ref="H43:L43"/>
    <mergeCell ref="A44:E44"/>
    <mergeCell ref="F44:G44"/>
    <mergeCell ref="H44:L44"/>
    <mergeCell ref="A45:E45"/>
    <mergeCell ref="F45:G45"/>
    <mergeCell ref="H45:L45"/>
    <mergeCell ref="A48:E48"/>
    <mergeCell ref="F48:G48"/>
    <mergeCell ref="H48:I48"/>
    <mergeCell ref="J48:N48"/>
    <mergeCell ref="A49:E49"/>
    <mergeCell ref="F49:G49"/>
    <mergeCell ref="H49:I49"/>
    <mergeCell ref="J49:N49"/>
    <mergeCell ref="A50:E50"/>
    <mergeCell ref="F50:G50"/>
    <mergeCell ref="H50:I50"/>
    <mergeCell ref="J50:N50"/>
    <mergeCell ref="A53:E53"/>
    <mergeCell ref="F53:G53"/>
    <mergeCell ref="H53:I53"/>
    <mergeCell ref="J53:N53"/>
    <mergeCell ref="A55:E55"/>
    <mergeCell ref="F55:G55"/>
    <mergeCell ref="H55:L55"/>
    <mergeCell ref="A56:E56"/>
    <mergeCell ref="F56:G56"/>
    <mergeCell ref="H56:L56"/>
    <mergeCell ref="A57:E57"/>
    <mergeCell ref="F57:G57"/>
    <mergeCell ref="H57:L57"/>
  </mergeCells>
  <pageMargins left="0.74803149606299213" right="0.74803149606299213" top="0.98425196850393704" bottom="0.98425196850393704" header="0.51181102362204722" footer="0.51181102362204722"/>
  <pageSetup scale="56" fitToHeight="3"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Metrics</vt:lpstr>
      <vt:lpstr>Milestones</vt:lpstr>
      <vt:lpstr>Manpower Q116</vt:lpstr>
      <vt:lpstr>Manpower Q216</vt:lpstr>
      <vt:lpstr>Manpower Q316</vt:lpstr>
      <vt:lpstr>Manpower Q416</vt:lpstr>
      <vt:lpstr>Manpower Q117</vt:lpstr>
      <vt:lpstr>Narrative Q116</vt:lpstr>
      <vt:lpstr>Narrative Q216</vt:lpstr>
      <vt:lpstr>Narrative Q316</vt:lpstr>
      <vt:lpstr>Narrative Q416</vt:lpstr>
      <vt:lpstr>Narrative Q117</vt:lpstr>
      <vt:lpstr>EVAL</vt:lpstr>
    </vt:vector>
  </TitlesOfParts>
  <Company>Queen Mary High Energy Physics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Lloyd</dc:creator>
  <cp:lastModifiedBy>gronbech</cp:lastModifiedBy>
  <cp:lastPrinted>2016-05-25T14:55:34Z</cp:lastPrinted>
  <dcterms:created xsi:type="dcterms:W3CDTF">2006-07-17T09:56:01Z</dcterms:created>
  <dcterms:modified xsi:type="dcterms:W3CDTF">2017-05-31T09:18:52Z</dcterms:modified>
</cp:coreProperties>
</file>