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50" yWindow="-75" windowWidth="26565" windowHeight="14340" tabRatio="579"/>
  </bookViews>
  <sheets>
    <sheet name="Metrics" sheetId="5" r:id="rId1"/>
    <sheet name="Milestones" sheetId="6" r:id="rId2"/>
    <sheet name="Manpower Q116" sheetId="16" r:id="rId3"/>
    <sheet name="Manpower Q216" sheetId="17" r:id="rId4"/>
    <sheet name="Manpower Q316" sheetId="19" r:id="rId5"/>
    <sheet name="Manpower Q416" sheetId="21" r:id="rId6"/>
    <sheet name="Manpower Q117" sheetId="24" r:id="rId7"/>
    <sheet name="Manpower Q217" sheetId="25" r:id="rId8"/>
    <sheet name="Manpower Q317" sheetId="27" r:id="rId9"/>
    <sheet name="Narrative Q116" sheetId="4" r:id="rId10"/>
    <sheet name="Narrative Q216" sheetId="18" r:id="rId11"/>
    <sheet name="Narrative Q316" sheetId="20" r:id="rId12"/>
    <sheet name="Narrative Q416" sheetId="22" r:id="rId13"/>
    <sheet name="Narrative Q117" sheetId="23" r:id="rId14"/>
    <sheet name="Narrative Q217" sheetId="26" r:id="rId15"/>
    <sheet name="Narrative Q317" sheetId="28" r:id="rId16"/>
    <sheet name="EVAL" sheetId="8" r:id="rId17"/>
  </sheets>
  <definedNames>
    <definedName name="_xlnm._FilterDatabase" localSheetId="0" hidden="1">Metrics!$A$8:$N$40</definedName>
    <definedName name="_xlnm._FilterDatabase" localSheetId="1" hidden="1">Milestones!$8:$30</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M36" i="5" l="1"/>
  <c r="L36" i="5"/>
  <c r="M35" i="5" l="1"/>
  <c r="L35" i="5"/>
  <c r="L10" i="5" l="1"/>
  <c r="M10" i="5"/>
  <c r="M20" i="5"/>
  <c r="L19" i="5"/>
  <c r="M19" i="5"/>
  <c r="L38" i="5"/>
  <c r="L37" i="5"/>
  <c r="M37" i="5"/>
  <c r="L18" i="5"/>
  <c r="K18" i="5"/>
  <c r="M28" i="5"/>
  <c r="L28" i="5"/>
  <c r="M27" i="5"/>
  <c r="M26" i="5"/>
  <c r="L26" i="5"/>
  <c r="M24" i="5"/>
  <c r="L24" i="5"/>
  <c r="M25" i="5"/>
  <c r="L25" i="5"/>
  <c r="M23" i="5"/>
  <c r="L23" i="5"/>
  <c r="M22" i="5"/>
  <c r="L22" i="5"/>
  <c r="M21" i="5"/>
  <c r="L21" i="5"/>
  <c r="K10" i="5"/>
  <c r="K20" i="5"/>
  <c r="K19" i="5"/>
  <c r="M18" i="5"/>
  <c r="M17" i="5"/>
  <c r="K17" i="5"/>
  <c r="M9" i="5"/>
  <c r="K9" i="5"/>
  <c r="M40" i="5"/>
  <c r="L40" i="5"/>
  <c r="M39" i="5"/>
  <c r="K39" i="5"/>
  <c r="M38" i="5"/>
  <c r="K38" i="5"/>
  <c r="K37" i="5"/>
  <c r="M30" i="5"/>
  <c r="L30" i="5"/>
  <c r="M34" i="5"/>
  <c r="L34" i="5"/>
  <c r="M33" i="5"/>
  <c r="L33" i="5"/>
  <c r="M32" i="5"/>
  <c r="L32" i="5"/>
  <c r="M31" i="5"/>
  <c r="L31" i="5"/>
  <c r="B5" i="28" l="1"/>
  <c r="B4" i="28"/>
  <c r="B3" i="28"/>
  <c r="I23" i="27"/>
  <c r="H23" i="27"/>
  <c r="G23" i="27"/>
  <c r="F23" i="27"/>
  <c r="E23" i="27"/>
  <c r="D23" i="27"/>
  <c r="M22" i="27"/>
  <c r="L22" i="27"/>
  <c r="M21" i="27"/>
  <c r="L21" i="27"/>
  <c r="I16" i="27"/>
  <c r="H16" i="27"/>
  <c r="G16" i="27"/>
  <c r="F16" i="27"/>
  <c r="R12" i="27" s="1"/>
  <c r="E16" i="27"/>
  <c r="D16" i="27"/>
  <c r="M15" i="27"/>
  <c r="L15" i="27"/>
  <c r="M14" i="27"/>
  <c r="L14" i="27"/>
  <c r="M13" i="27"/>
  <c r="L13" i="27"/>
  <c r="M12" i="27"/>
  <c r="L12" i="27"/>
  <c r="M11" i="27"/>
  <c r="L11" i="27"/>
  <c r="M10" i="27"/>
  <c r="L10" i="27"/>
  <c r="O8" i="27"/>
  <c r="B4" i="27"/>
  <c r="J22" i="5"/>
  <c r="K22" i="5"/>
  <c r="I22" i="5"/>
  <c r="J21" i="5"/>
  <c r="I21" i="5"/>
  <c r="K21" i="5"/>
  <c r="K40" i="5"/>
  <c r="K36" i="5"/>
  <c r="J31" i="5"/>
  <c r="K30" i="5"/>
  <c r="K28" i="5"/>
  <c r="L27" i="5"/>
  <c r="K25" i="5"/>
  <c r="K24" i="5"/>
  <c r="K23" i="5"/>
  <c r="B5" i="26"/>
  <c r="B4" i="26"/>
  <c r="B3" i="26"/>
  <c r="I23" i="25"/>
  <c r="H23" i="25"/>
  <c r="G23" i="25"/>
  <c r="F23" i="25"/>
  <c r="E23" i="25"/>
  <c r="D23" i="25"/>
  <c r="M22" i="25"/>
  <c r="L22" i="25"/>
  <c r="M21" i="25"/>
  <c r="L21" i="25"/>
  <c r="I16" i="25"/>
  <c r="H16" i="25"/>
  <c r="G16" i="25"/>
  <c r="F16" i="25"/>
  <c r="R12" i="25" s="1"/>
  <c r="E16" i="25"/>
  <c r="D16" i="25"/>
  <c r="M15" i="25"/>
  <c r="L15" i="25"/>
  <c r="M14" i="25"/>
  <c r="L14" i="25"/>
  <c r="M13" i="25"/>
  <c r="L13" i="25"/>
  <c r="M12" i="25"/>
  <c r="L12" i="25"/>
  <c r="M11" i="25"/>
  <c r="L11" i="25"/>
  <c r="M10" i="25"/>
  <c r="L10" i="25"/>
  <c r="O8" i="25"/>
  <c r="B4" i="25"/>
  <c r="O8" i="24"/>
  <c r="D16" i="24"/>
  <c r="R12" i="24" s="1"/>
  <c r="E16" i="24"/>
  <c r="F16" i="24"/>
  <c r="J40" i="5"/>
  <c r="J37" i="5"/>
  <c r="J36" i="5"/>
  <c r="K35" i="5"/>
  <c r="J35" i="5"/>
  <c r="K34" i="5"/>
  <c r="K33" i="5"/>
  <c r="K32" i="5"/>
  <c r="K31" i="5"/>
  <c r="J30" i="5"/>
  <c r="J28" i="5"/>
  <c r="K27" i="5"/>
  <c r="K26" i="5"/>
  <c r="J26" i="5"/>
  <c r="J24" i="5"/>
  <c r="J25" i="5"/>
  <c r="J10" i="5"/>
  <c r="J9" i="5"/>
  <c r="J23" i="5"/>
  <c r="J20" i="5"/>
  <c r="J19" i="5"/>
  <c r="J18" i="5"/>
  <c r="J17" i="5"/>
  <c r="I23" i="24"/>
  <c r="H23" i="24"/>
  <c r="G23" i="24"/>
  <c r="F23" i="24"/>
  <c r="E23" i="24"/>
  <c r="D23" i="24"/>
  <c r="M22" i="24"/>
  <c r="L22" i="24"/>
  <c r="M21" i="24"/>
  <c r="L21" i="24"/>
  <c r="I16" i="24"/>
  <c r="H16" i="24"/>
  <c r="G16" i="24"/>
  <c r="M15" i="24"/>
  <c r="L15" i="24"/>
  <c r="M14" i="24"/>
  <c r="L14" i="24"/>
  <c r="M13" i="24"/>
  <c r="L13" i="24"/>
  <c r="M12" i="24"/>
  <c r="L12" i="24"/>
  <c r="M11" i="24"/>
  <c r="L11" i="24"/>
  <c r="M10" i="24"/>
  <c r="L10" i="24"/>
  <c r="B4" i="24"/>
  <c r="B5" i="23"/>
  <c r="B4" i="23"/>
  <c r="B3" i="23"/>
  <c r="I40" i="5"/>
  <c r="J39" i="5"/>
  <c r="I39" i="5"/>
  <c r="J38" i="5"/>
  <c r="I38" i="5"/>
  <c r="I37" i="5"/>
  <c r="I36" i="5"/>
  <c r="I35" i="5"/>
  <c r="J33" i="5"/>
  <c r="J34" i="5"/>
  <c r="J32" i="5"/>
  <c r="I30" i="5"/>
  <c r="I28" i="5"/>
  <c r="J27" i="5"/>
  <c r="I26" i="5"/>
  <c r="I24" i="5"/>
  <c r="I23" i="5"/>
  <c r="I20" i="5"/>
  <c r="I19" i="5"/>
  <c r="I10" i="5"/>
  <c r="I18" i="5"/>
  <c r="I17" i="5"/>
  <c r="I9" i="5"/>
  <c r="B5" i="22"/>
  <c r="B4" i="22"/>
  <c r="B3" i="22"/>
  <c r="I23" i="21"/>
  <c r="H23" i="21"/>
  <c r="G23" i="21"/>
  <c r="F23" i="21"/>
  <c r="E23" i="21"/>
  <c r="D23" i="21"/>
  <c r="M22" i="21"/>
  <c r="L22" i="21"/>
  <c r="M21" i="21"/>
  <c r="L21" i="21"/>
  <c r="I16" i="21"/>
  <c r="H16" i="21"/>
  <c r="G16" i="21"/>
  <c r="F16" i="21"/>
  <c r="E16" i="21"/>
  <c r="D16" i="21"/>
  <c r="M15" i="21"/>
  <c r="L15" i="21"/>
  <c r="M14" i="21"/>
  <c r="L14" i="21"/>
  <c r="M13" i="21"/>
  <c r="L13" i="21"/>
  <c r="M12" i="21"/>
  <c r="L12" i="21"/>
  <c r="M11" i="21"/>
  <c r="L11" i="21"/>
  <c r="M10" i="21"/>
  <c r="L10" i="21"/>
  <c r="B4" i="21"/>
  <c r="H22" i="5"/>
  <c r="H21" i="5"/>
  <c r="I27" i="5"/>
  <c r="I25" i="5"/>
  <c r="H40" i="5"/>
  <c r="H39" i="5"/>
  <c r="H38" i="5"/>
  <c r="H37" i="5"/>
  <c r="H35" i="5"/>
  <c r="I34" i="5"/>
  <c r="I33" i="5"/>
  <c r="I32" i="5"/>
  <c r="I31" i="5"/>
  <c r="H31" i="5"/>
  <c r="H30" i="5"/>
  <c r="H19" i="5"/>
  <c r="H20" i="5"/>
  <c r="H10" i="5"/>
  <c r="H18" i="5"/>
  <c r="H17" i="5"/>
  <c r="H9" i="5"/>
  <c r="I23" i="19"/>
  <c r="H23" i="19"/>
  <c r="G23" i="19"/>
  <c r="F23" i="19"/>
  <c r="E23" i="19"/>
  <c r="D23" i="19"/>
  <c r="M22" i="19"/>
  <c r="L22" i="19"/>
  <c r="M21" i="19"/>
  <c r="L21" i="19"/>
  <c r="M13" i="19"/>
  <c r="B5" i="20"/>
  <c r="B4" i="20"/>
  <c r="B3" i="20"/>
  <c r="I16" i="19"/>
  <c r="H16" i="19"/>
  <c r="G16" i="19"/>
  <c r="F16" i="19"/>
  <c r="E16" i="19"/>
  <c r="D16" i="19"/>
  <c r="M15" i="19"/>
  <c r="L15" i="19"/>
  <c r="M14" i="19"/>
  <c r="L14" i="19"/>
  <c r="L13" i="19"/>
  <c r="M12" i="19"/>
  <c r="L12" i="19"/>
  <c r="M11" i="19"/>
  <c r="L11" i="19"/>
  <c r="M10" i="19"/>
  <c r="L10" i="19"/>
  <c r="B4" i="19"/>
  <c r="H11" i="5"/>
  <c r="G11" i="5"/>
  <c r="G22" i="5"/>
  <c r="G21" i="5"/>
  <c r="H28" i="5"/>
  <c r="H23" i="5"/>
  <c r="H27" i="5"/>
  <c r="H26" i="5"/>
  <c r="H25" i="5"/>
  <c r="H24" i="5"/>
  <c r="H36" i="5"/>
  <c r="H34" i="5"/>
  <c r="H33" i="5"/>
  <c r="H32" i="5"/>
  <c r="G17" i="5"/>
  <c r="G10" i="5"/>
  <c r="B5" i="18"/>
  <c r="B3" i="18"/>
  <c r="I16" i="17"/>
  <c r="H16" i="17"/>
  <c r="G16" i="17"/>
  <c r="F16" i="17"/>
  <c r="E16" i="17"/>
  <c r="D16" i="17"/>
  <c r="M15" i="17"/>
  <c r="L15" i="17"/>
  <c r="M14" i="17"/>
  <c r="L14" i="17"/>
  <c r="L13" i="17"/>
  <c r="M12" i="17"/>
  <c r="L12" i="17"/>
  <c r="M11" i="17"/>
  <c r="L11" i="17"/>
  <c r="M10" i="17"/>
  <c r="L10" i="17"/>
  <c r="B4" i="17"/>
  <c r="L15" i="16"/>
  <c r="G40" i="5"/>
  <c r="G39" i="5"/>
  <c r="G36" i="5"/>
  <c r="G35" i="5"/>
  <c r="G28" i="5"/>
  <c r="G25" i="5"/>
  <c r="G27" i="5"/>
  <c r="G26" i="5"/>
  <c r="G24" i="5"/>
  <c r="G23" i="5"/>
  <c r="G20" i="5"/>
  <c r="G19" i="5"/>
  <c r="G18" i="5"/>
  <c r="G9" i="5"/>
  <c r="G38" i="5"/>
  <c r="G37" i="5"/>
  <c r="G34" i="5"/>
  <c r="G33" i="5"/>
  <c r="G32" i="5"/>
  <c r="G31" i="5"/>
  <c r="G30" i="5"/>
  <c r="M17" i="16"/>
  <c r="L17" i="16"/>
  <c r="M16" i="16"/>
  <c r="L16" i="16"/>
  <c r="M15" i="16"/>
  <c r="M14" i="16"/>
  <c r="L14" i="16"/>
  <c r="L13" i="16"/>
  <c r="M12" i="16"/>
  <c r="L12" i="16"/>
  <c r="M11" i="16"/>
  <c r="L11" i="16"/>
  <c r="M10" i="16"/>
  <c r="L10" i="16"/>
  <c r="I18" i="16"/>
  <c r="H18" i="16"/>
  <c r="G18" i="16"/>
  <c r="F18" i="16"/>
  <c r="E18" i="16"/>
  <c r="D18" i="16"/>
  <c r="F40" i="5"/>
  <c r="B3" i="6"/>
  <c r="B4" i="6"/>
  <c r="B5" i="6"/>
  <c r="B3" i="4"/>
  <c r="B5" i="4"/>
</calcChain>
</file>

<file path=xl/comments1.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2.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3.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4.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5.xml><?xml version="1.0" encoding="utf-8"?>
<comments xmlns="http://schemas.openxmlformats.org/spreadsheetml/2006/main">
  <authors>
    <author>gronbech</author>
  </authors>
  <commentList>
    <comment ref="B21" authorId="0">
      <text>
        <r>
          <rPr>
            <b/>
            <sz val="9"/>
            <color indexed="81"/>
            <rFont val="Tahoma"/>
            <family val="2"/>
          </rPr>
          <t>gronbech:</t>
        </r>
        <r>
          <rPr>
            <sz val="9"/>
            <color indexed="81"/>
            <rFont val="Tahoma"/>
            <family val="2"/>
          </rPr>
          <t xml:space="preserve">
expect 0.7FTE</t>
        </r>
      </text>
    </comment>
    <comment ref="B22" authorId="0">
      <text>
        <r>
          <rPr>
            <b/>
            <sz val="9"/>
            <color indexed="81"/>
            <rFont val="Tahoma"/>
            <family val="2"/>
          </rPr>
          <t>gronbech:</t>
        </r>
        <r>
          <rPr>
            <sz val="9"/>
            <color indexed="81"/>
            <rFont val="Tahoma"/>
            <family val="2"/>
          </rPr>
          <t xml:space="preserve">
Expect 0.3FTE</t>
        </r>
      </text>
    </comment>
  </commentList>
</comments>
</file>

<file path=xl/comments6.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comments7.xml><?xml version="1.0" encoding="utf-8"?>
<comments xmlns="http://schemas.openxmlformats.org/spreadsheetml/2006/main">
  <authors>
    <author xml:space="preserve"> </author>
  </authors>
  <commentList>
    <comment ref="H49" authorId="0">
      <text>
        <r>
          <rPr>
            <sz val="8"/>
            <color indexed="81"/>
            <rFont val="Tahoma"/>
            <family val="2"/>
          </rPr>
          <t xml:space="preserve">Unable to set until new LHC schedule and revised experiment resource requirements
</t>
        </r>
      </text>
    </comment>
    <comment ref="H50" authorId="0">
      <text>
        <r>
          <rPr>
            <sz val="8"/>
            <color indexed="81"/>
            <rFont val="Tahoma"/>
            <family val="2"/>
          </rPr>
          <t xml:space="preserve">Unable to set until new LHC schedule and revised experiment resource requirements
</t>
        </r>
      </text>
    </comment>
  </commentList>
</comments>
</file>

<file path=xl/sharedStrings.xml><?xml version="1.0" encoding="utf-8"?>
<sst xmlns="http://schemas.openxmlformats.org/spreadsheetml/2006/main" count="1264" uniqueCount="454">
  <si>
    <t>Query</t>
  </si>
  <si>
    <t>Production Team</t>
  </si>
  <si>
    <t>Gareth Smith</t>
  </si>
  <si>
    <t>Proposed Milestone change</t>
  </si>
  <si>
    <t>Likely to be late</t>
  </si>
  <si>
    <t>Month 1</t>
  </si>
  <si>
    <t>GridPP Funded</t>
  </si>
  <si>
    <t>Unfunded</t>
  </si>
  <si>
    <t>Month 2</t>
  </si>
  <si>
    <t>Month 3</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</si>
  <si>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</si>
  <si>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</si>
  <si>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</si>
  <si>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</si>
  <si>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</si>
  <si>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</si>
  <si>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</si>
  <si>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</si>
  <si>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</si>
  <si>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</si>
  <si>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</si>
  <si>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</si>
  <si>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</si>
  <si>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</si>
  <si>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</si>
  <si>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</si>
  <si>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Owner</t>
  </si>
  <si>
    <t>Description</t>
  </si>
  <si>
    <t>Area</t>
  </si>
  <si>
    <t>Reported by</t>
  </si>
  <si>
    <t>Target</t>
  </si>
  <si>
    <t>OK</t>
  </si>
  <si>
    <t>Not OK</t>
  </si>
  <si>
    <t>Comment</t>
  </si>
  <si>
    <t>Suspended</t>
  </si>
  <si>
    <t>Milestone no.</t>
  </si>
  <si>
    <t>Due date</t>
  </si>
  <si>
    <t>Date complete</t>
  </si>
  <si>
    <t>Evidence</t>
  </si>
  <si>
    <t>Overdue</t>
  </si>
  <si>
    <t>Not yet due</t>
  </si>
  <si>
    <t>Work area</t>
  </si>
  <si>
    <t>Complete</t>
  </si>
  <si>
    <t>Insitute or area specific risks</t>
  </si>
  <si>
    <t>Not yet able to be measured</t>
  </si>
  <si>
    <t>Effort (FTE)</t>
  </si>
  <si>
    <t>Close to target</t>
  </si>
  <si>
    <t>Source</t>
  </si>
  <si>
    <t>CPU</t>
  </si>
  <si>
    <t>CASTOR/Tape</t>
  </si>
  <si>
    <t>Operations</t>
  </si>
  <si>
    <t>Network</t>
  </si>
  <si>
    <t>Management</t>
  </si>
  <si>
    <t>Tier-1</t>
  </si>
  <si>
    <t>Andrew Sansum</t>
  </si>
  <si>
    <t>Tim Folkes</t>
  </si>
  <si>
    <t>Catalin Condurache</t>
  </si>
  <si>
    <t>Based on Milestones 1.3d-2</t>
  </si>
  <si>
    <t>General</t>
  </si>
  <si>
    <t>CASTOR</t>
  </si>
  <si>
    <t>Disk</t>
  </si>
  <si>
    <t>Production</t>
  </si>
  <si>
    <t>Tier-1 no.</t>
  </si>
  <si>
    <t>GridPP no.</t>
  </si>
  <si>
    <t>Objectives and Deliverables needing Rescheduling</t>
  </si>
  <si>
    <t>Old Due Date</t>
  </si>
  <si>
    <t>New Due Date</t>
  </si>
  <si>
    <t>Reason</t>
  </si>
  <si>
    <t xml:space="preserve">New Objectives and Deliverables </t>
  </si>
  <si>
    <t>Summary of Comments</t>
  </si>
  <si>
    <t>Core Services</t>
  </si>
  <si>
    <t>GRIDPP Funded Name(s)</t>
  </si>
  <si>
    <t>Sansum</t>
  </si>
  <si>
    <t>Proposed to be Rescheduled</t>
  </si>
  <si>
    <t>Grid Deployment</t>
  </si>
  <si>
    <t>Fraction of WLCG MoU commitment for CPU 100 %</t>
  </si>
  <si>
    <t>Availability of CE service 99 %</t>
    <phoneticPr fontId="0" type="noConversion"/>
  </si>
  <si>
    <t>Number of Security Incidents 2 per year</t>
    <phoneticPr fontId="0" type="noConversion"/>
  </si>
  <si>
    <t xml:space="preserve"># level 3 incidents(newly entered or active) in disaster management system 0  </t>
    <phoneticPr fontId="0" type="noConversion"/>
  </si>
  <si>
    <t xml:space="preserve"># level 4 incidents (newly entered or active) in disaster management system 0  </t>
    <phoneticPr fontId="0" type="noConversion"/>
  </si>
  <si>
    <t>Percentage of GRIDPP4 Staff in Post 93 %</t>
  </si>
  <si>
    <t>Fraction of WLCG MoU commitment for Disk 100 %</t>
    <phoneticPr fontId="0" type="noConversion"/>
  </si>
  <si>
    <t xml:space="preserve"> Fraction of WLCG MoU commitment for Tape 100 %</t>
    <phoneticPr fontId="0" type="noConversion"/>
  </si>
  <si>
    <t># Storage node failures leading to filesystem loss or damage</t>
  </si>
  <si>
    <t>% Lost disk server hours due to hardware problems over deployed base</t>
    <phoneticPr fontId="0" type="noConversion"/>
  </si>
  <si>
    <t>CASTOR SAM tests: ATLAS VO</t>
  </si>
  <si>
    <t>CASTOR SAM tests: ALICE VO</t>
  </si>
  <si>
    <t>CASTOR SAM tests: CMS VO</t>
  </si>
  <si>
    <t>CASTOR SAM tests: LHCb VO</t>
  </si>
  <si>
    <t xml:space="preserve"> Reliability of tape robot 99 %</t>
  </si>
  <si>
    <t>WLCG Service Availability Target (set lower by WLCG than MoU, taken from OPS availability) 97 %</t>
  </si>
  <si>
    <t>WLCG Service Availability for Alice 97 %</t>
  </si>
  <si>
    <t>WLCG Service Availability for ATLAS 97 %</t>
    <phoneticPr fontId="0" type="noConversion"/>
  </si>
  <si>
    <t>WLCG Service Availability for CMS 97 %</t>
    <phoneticPr fontId="0" type="noConversion"/>
  </si>
  <si>
    <t>WLCG Service Availability for LHCB 97 %</t>
    <phoneticPr fontId="0" type="noConversion"/>
  </si>
  <si>
    <t xml:space="preserve">Respond to pager within 2 hours  95 %  </t>
  </si>
  <si>
    <t xml:space="preserve">Number of GGUS Tickets not responded to within two hours .  </t>
    <phoneticPr fontId="0" type="noConversion"/>
  </si>
  <si>
    <t>Job Efficiency (CPU/Wall) 70 %</t>
  </si>
  <si>
    <t>Farm Occupancy 70 %</t>
  </si>
  <si>
    <t>Produce the purchasing plan</t>
  </si>
  <si>
    <t>% met of GRIDPP T1RB Allocation for Tape   100 %</t>
  </si>
  <si>
    <t>% met of GRIDPP T1-RB allocation for CPU 100 %</t>
  </si>
  <si>
    <t>% met of GRIDPP T1RB Allocation for Disk  100 %</t>
  </si>
  <si>
    <t xml:space="preserve">Damaged tapes/month, leading to data loss </t>
  </si>
  <si>
    <t>3 per month</t>
  </si>
  <si>
    <t>Percentage of available T1 Disk 1 used in quarter 20 %</t>
  </si>
  <si>
    <t>Used tape capacity (TB)</t>
  </si>
  <si>
    <t>Fabric</t>
  </si>
  <si>
    <t>Grid</t>
  </si>
  <si>
    <t>Database</t>
  </si>
  <si>
    <t>Machine Room Operations</t>
  </si>
  <si>
    <t>Database team</t>
  </si>
  <si>
    <t>Smith, Idiculla, Kelly</t>
  </si>
  <si>
    <t>Metric calculation changed in 12Q1 Now harder</t>
  </si>
  <si>
    <t>Notes</t>
  </si>
  <si>
    <t>EVAL Notes</t>
  </si>
  <si>
    <t>Publications</t>
  </si>
  <si>
    <t xml:space="preserve"> Date</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</si>
  <si>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</si>
  <si>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</si>
  <si>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</si>
  <si>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</si>
  <si>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</si>
  <si>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</si>
  <si>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</si>
  <si>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</si>
  <si>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Tier-1 WLCG MoU commitments met</t>
  </si>
  <si>
    <t>Capacity procurements started</t>
  </si>
  <si>
    <t>Norris, Patel, Sheppard, Knightley</t>
  </si>
  <si>
    <t>Condurache, Adams, Collier, Ryall, Dibbo, Williams</t>
  </si>
  <si>
    <t>The Tier-1 project to replace (remove) the old UKLight router has been delayed owing to Tier-1 team staff departures and operational problems. Network bandwidth limitations on the Tier-1 links to JANET.
STFC has been unable to prioritise IPV6 developments necessary to allow the Tier-1 to to meet its WLCG milestone of Perfsonar access over IPV6.</t>
  </si>
  <si>
    <t>Continue work on the CEPH disk storage project.</t>
  </si>
  <si>
    <t>A1.16 External review of operation</t>
  </si>
  <si>
    <t>A1.17 Strategic and operations plan agreed</t>
  </si>
  <si>
    <t>This will need to take into account the GridPP5 bid and may depend on when a new Tier1 Manager is recruited.</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</si>
  <si>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</si>
  <si>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</si>
  <si>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A4.5 Tier-1 WLCG MoU commitments met</t>
  </si>
  <si>
    <t>Sierra, Smirnov, Packer</t>
  </si>
  <si>
    <t xml:space="preserve">reduction as increased cost sharing with ISIS </t>
  </si>
  <si>
    <t>Load sharing of T1 Manager role amongst several staff. But not sustainable long term</t>
  </si>
  <si>
    <t xml:space="preserve">Staffing recruitment and retention remains problematic. </t>
  </si>
  <si>
    <t>STFC recognises that delays in the SBS procurement process are a risk to the whole organisation. STFC has introduced its own oversight of this process. The Tier1 will need to commence its procurements significantly earlier than last year in order to meet its deadlines.</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</si>
  <si>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</si>
  <si>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</si>
  <si>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Q116</t>
  </si>
  <si>
    <t>A temporary increase of 1 FTE over previous quarter - code developer effort for CEPH xrootd/gridftp plug in.</t>
  </si>
  <si>
    <t>Q116 CMS tests poor in January. There was a problem on the network bypass' that affected all VOs. For CMS the SRM tests run agains CMSTape which was under high load and saw problems during January.</t>
  </si>
  <si>
    <t>Capacity Purchases received by end of quarter.</t>
  </si>
  <si>
    <t>The Tier1 manager role is being filled by 20% of Andrew.</t>
  </si>
  <si>
    <t xml:space="preserve">
</t>
  </si>
  <si>
    <t>Two members of staff left at the end of this quarter:
Shaun De Witt (Castor Team)
Juan Sierra (Database Team)</t>
  </si>
  <si>
    <t>We have seen increased use of the OPN link for part of this quarter.</t>
  </si>
  <si>
    <t>Capacity Purchase received by end of quarter.
Eight Disk servers, with a total capacity of almost 900TB added to Atlas Castor.</t>
  </si>
  <si>
    <t>There have been a few network problems: 
Twice during the quarter there were problems with one of the four links between the 'UKLight' router and the Tier1 core network.
Also there was a site networking problem at the end of March. The Tier1 router pair didn't failover owing to a configuraion error.</t>
  </si>
  <si>
    <t>Following the deoparture of Juan Sierra the Database Team is down to one person - which is below the critical threshold.
The use of a contractor and the recruitment of more DB Admins are being followed up as a matter of urgency.</t>
  </si>
  <si>
    <t>The Castor 2.1.15 update has not been rolled out. Early tests showed load problems on the Oracle Database. Tests have been hidered by problems within the test database system which has had to be rebuilt.</t>
  </si>
  <si>
    <r>
      <rPr>
        <b/>
        <sz val="10"/>
        <rFont val="Arial"/>
        <family val="2"/>
      </rPr>
      <t>2017</t>
    </r>
    <r>
      <rPr>
        <sz val="10"/>
        <rFont val="Arial"/>
        <family val="2"/>
      </rPr>
      <t xml:space="preserve"> Capacity produrement may be impacted by delays introduced by SBS procurement process.</t>
    </r>
  </si>
  <si>
    <t>propose autumn-2016</t>
  </si>
  <si>
    <t>A review has been requested by the PMB for this timescale.</t>
  </si>
  <si>
    <t>propose 01/Sep/2016</t>
  </si>
  <si>
    <t xml:space="preserve">A4.1 Internal strategic and technology review </t>
  </si>
  <si>
    <t>Propose Re-scheduling: Was awaiting completion of GridPP5 bid. Partly dependent on appointment of new Tier1 manager.</t>
  </si>
  <si>
    <t>MOU commitments have been met. Capacity order received.</t>
  </si>
  <si>
    <t>A4.2 Produce the purchasing plan</t>
  </si>
  <si>
    <t>Jun '16</t>
  </si>
  <si>
    <t>Capacity Order Placed</t>
  </si>
  <si>
    <t>Capacity Procurements Started</t>
  </si>
  <si>
    <t>Tier-1 is setting up a new network management meeting that will include members of site networking group to oversee tier-1 network projects. Tier-1 service manager has been invited to attend the STFC NetTDA where site network development priorities are set.
Following a review of the UKLight router replacement a simpler course of action (as compared to that previously proposed) was agreed. Progress towards this replacement is being tracked by the Tier1 Production Manager.</t>
  </si>
  <si>
    <t>Canning ,  De Witt,  Folkes, Prosser, Davies,Appleyard, Johnson</t>
  </si>
  <si>
    <t>Bly, Hafeez, Harper, Walia</t>
  </si>
  <si>
    <t>Order placed.</t>
  </si>
  <si>
    <t>Poor availability in Jan. Problem with OPN link caused incoming tests to fail.</t>
  </si>
  <si>
    <t>Poor availability in Jan. Problem with OPN link caused incoming tests to fail. Plus tests run against CMSTape area in Castor which was under high load for a couple of days.</t>
  </si>
  <si>
    <t>There have been problems with one of the older batches of disk servers (CV'11) used in the tape caches. Action has been taken to mitigate this (firmware updates, using spare disks from a different manufacturer that were in a decommissioned batch of servers).
Some new disk servers are being purchased to go into the disk caches so that the older servers can be retired.</t>
  </si>
  <si>
    <t>Q216</t>
  </si>
  <si>
    <t>Comment Q116</t>
  </si>
  <si>
    <t>Comment Q216</t>
  </si>
  <si>
    <t>Andrew Lahiff</t>
  </si>
  <si>
    <t>Failed for one out of hours callout in May. There were low statistics with only a total of 5 callouts out of hours in the month.</t>
  </si>
  <si>
    <t>Rob Appleyard</t>
  </si>
  <si>
    <t>Significant problems with the tape library in May and June. Initially hardware then stability of control software.</t>
  </si>
  <si>
    <t>Kashif Hafeez</t>
  </si>
  <si>
    <t>Smirnov, Packer</t>
  </si>
  <si>
    <t>Canning ,  Folkes, Prosser, Appleyard, Johnson,Vasilakakos ,Patargias , Packer</t>
  </si>
  <si>
    <t>Site networking is not funded by either SCD or GridPP in GridPP5</t>
  </si>
  <si>
    <t>Machine room operations are now fully funded by SCD in GridPP5</t>
  </si>
  <si>
    <t>The Castor 2.1.15 update has still not been rolled out. The test database system has been rebuilt. However work has not progressd as fast as we would like owing to the limited manpower available.</t>
  </si>
  <si>
    <t xml:space="preserve">Castor "GEN Scratch" storage atrea was decommissioned slightly simplifying the Castor set-up. </t>
  </si>
  <si>
    <t>The migration of the Atlas data from 'C' to 'D' tapes was stared in this period. By end June it was around 50% complete.</t>
  </si>
  <si>
    <t>The Tier1 manager role continues to be covered by 20% of Andrew.</t>
  </si>
  <si>
    <t>There was a failure of the air conditioning to the machine room early in May. Both chillers and pumps stopped. After around 30 minutes the air conditioning (pumps &amp; chillers) was restarted and temperatures fell back down. See blog post at: http://www.gridpp.rl.ac.uk/blog/2016/05/10/r89-water-pump-outage/</t>
  </si>
  <si>
    <t>HAProxy load balancers introduced in front of the production and test FTS3 services. 
One of the three production WMS systems was decommissioned simplifying the service.
Machine Job Features rolled out across batch farm.</t>
  </si>
  <si>
    <t>We are seeing increased usage of the OPN link to/from CERN with the inbound traffic saturating the 10Gbit link for increasingly long periods.
There was a problem with the RAL core networkin mid-April, strating late on a Friday and continuing until the Saturday afternoon. We experienced four significant breaks in connectivity during this period. A fifteen hour outage was been declared in the GOC DB.</t>
  </si>
  <si>
    <t>During the quarter we had only one person in the Database Team  - which is below the critical threshold.
Work on finding a contractor and the recruitment of more DB Admins were actvely followed up.</t>
  </si>
  <si>
    <t>Continue work on the CEPH disk storage project (ECHO)</t>
  </si>
  <si>
    <t>During May and into June there were significant problems with the tape library leading to periods when it was not available. This was caused by three separate issues:
- Significant hardware problem with the fix confused by a spare board failing soon after installation.
- Faulty replacement handbot within the library led to safety concern.
- Problem with library control software hanging.</t>
  </si>
  <si>
    <t>Capacity procurement of disk delivered and readied for putting into ECHO CEPH cluster.</t>
  </si>
  <si>
    <t>One of the two batches of capacity CPU purchases (that from XMA) was put into production at the end of May. We have sufficient capacity in place to meet MOU requirements.</t>
  </si>
  <si>
    <t>Deployment to production of the second  of the batches of capacity CPU purchases (that from HPE) has not yet taken place owing ting to various problems post delivery. However, MOU commitments already met.</t>
  </si>
  <si>
    <t>Taking this as the purchasing plan for spendind within the 2016/17 FY. Plan has been produced but not yet disseminated.</t>
  </si>
  <si>
    <t>July '16</t>
  </si>
  <si>
    <t>3.4.1</t>
  </si>
  <si>
    <t>UK CPU and storage delivered to EGI</t>
    <phoneticPr fontId="6" type="noConversion"/>
  </si>
  <si>
    <t>Monthly timesheets complete by 10th of each month</t>
    <phoneticPr fontId="6" type="noConversion"/>
  </si>
  <si>
    <t>GridPP staff PM delivered as required</t>
  </si>
  <si>
    <t>GOCDB Availability</t>
  </si>
  <si>
    <t>APEL Availability</t>
  </si>
  <si>
    <t>3.4.2</t>
  </si>
  <si>
    <t>3.4.3</t>
  </si>
  <si>
    <t>3.4.4</t>
  </si>
  <si>
    <t>3.4.5</t>
  </si>
  <si>
    <t>Ian Collier</t>
  </si>
  <si>
    <t>&gt;99%</t>
  </si>
  <si>
    <t>1.1.1</t>
  </si>
  <si>
    <t>1.1.2</t>
  </si>
  <si>
    <t>1.1.3</t>
  </si>
  <si>
    <t>1.1.4</t>
  </si>
  <si>
    <t>1.1.5</t>
  </si>
  <si>
    <t>1.1.6</t>
  </si>
  <si>
    <t>1.1.7</t>
  </si>
  <si>
    <t>FY16 Capacity order placed</t>
  </si>
  <si>
    <t>FY16 Purchase in production</t>
  </si>
  <si>
    <t>FY17 Capacity order placed</t>
  </si>
  <si>
    <t>FY17 Purchase in production</t>
  </si>
  <si>
    <t>FY18 Capacity order placed</t>
  </si>
  <si>
    <t>FY18 Purchase in production</t>
  </si>
  <si>
    <t>FY19 Capacity order placed</t>
  </si>
  <si>
    <t>FY19 Purchase in production</t>
  </si>
  <si>
    <t>1.4.1</t>
  </si>
  <si>
    <t>1.4.2</t>
  </si>
  <si>
    <t>1.4.3</t>
  </si>
  <si>
    <t>1.4.4</t>
  </si>
  <si>
    <t>1.4.5</t>
  </si>
  <si>
    <t>1.4.6</t>
  </si>
  <si>
    <t>1.4.7</t>
  </si>
  <si>
    <t>1.4.8</t>
  </si>
  <si>
    <t>1.4.9</t>
  </si>
  <si>
    <t>1.4.10</t>
  </si>
  <si>
    <t>1.4.11</t>
  </si>
  <si>
    <t>1.4.12</t>
  </si>
  <si>
    <t>1.4.13</t>
  </si>
  <si>
    <t>1.4.14</t>
  </si>
  <si>
    <t>1.4.15</t>
  </si>
  <si>
    <t>1.4.16</t>
  </si>
  <si>
    <t>Q316</t>
  </si>
  <si>
    <t>q216</t>
  </si>
  <si>
    <t>q116</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</si>
  <si>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</si>
  <si>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</si>
  <si>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</si>
  <si>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</si>
  <si>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</si>
  <si>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</si>
  <si>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</si>
  <si>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</si>
  <si>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</si>
  <si>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</si>
  <si>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</si>
  <si>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</si>
  <si>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</si>
  <si>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</si>
  <si>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</si>
  <si>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</si>
  <si>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</si>
  <si>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</si>
  <si>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</si>
  <si>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</si>
  <si>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</si>
  <si>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</si>
  <si>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1.3.11</t>
  </si>
  <si>
    <t>NGI</t>
  </si>
  <si>
    <t>Comment Q316</t>
  </si>
  <si>
    <t>APEL</t>
  </si>
  <si>
    <t>GOCDB</t>
  </si>
  <si>
    <t>One members of staff left at the end of this quarter:
Tiju Idiculla (Productio Team)
In addition one person reduced their hours (to around 45%) at the end of August:
Gareth Smith (Production Team)</t>
  </si>
  <si>
    <t>The second  of the batches of capacity CPU purchases (that from HPE) is not yet in full production. It is being used to set-up and test a new configuration of worker nodes for use with CEPH. (These will run SL7 with an xroot gateway with the "worker node" in a SL6 container.)</t>
  </si>
  <si>
    <t xml:space="preserve">Significant loss in effort in Production Team. </t>
  </si>
  <si>
    <t>We have sufficient capacity in place to meet MOU requirements.
The LSST VO was enabled on the batch farm at the end of July.</t>
  </si>
  <si>
    <t xml:space="preserve">Three disk servers each of 57TB capacity have been deployed into each of the following tape caches: AtlasTape, cmsTape, lhcbRawRdst. (I.e. a total of nine servers) at the end of July. </t>
  </si>
  <si>
    <t>Problems reported in last quarter on the tape libraries were resolved early in July. Since then these have operated stably.
The migration of the Atlas data from 'C' to 'D' tapes was completed in August. Additional 'D' drives have been ordered  (and at the time of this report delivered) to provide additional capacity ahead of migrating the LHCb data.</t>
  </si>
  <si>
    <t>At the end of August there was a problem with packet loss seen across a part of the Tier1 network. Finally traced to a faulty transceiver which was replaced.</t>
  </si>
  <si>
    <t>The database behind the LFC was moved to new hardware at the start of August.
During September services running on the Microsoft Hyper-V 2008 infrastructure were moved to the Hyper-V 2012 infrastrcucture.</t>
  </si>
  <si>
    <t xml:space="preserve">A brief power dip affected parts of the RAL site on Wedesday afternoon, 14th Sep. The R89 machine room was OK. However, it was seen by equipment in the Atlas building. This had no affect on our services. </t>
  </si>
  <si>
    <t xml:space="preserve">Following saturation of the single 'primary' 10Gbit OPN link at the start of this quarter the OPN connection was reconfigured to use both 10Gbit links at the start of August.
On Wednesday 5th October (just after period of report) the UKLight Router was replaced. This has also enabled a a 40 GBit connection to the RAL border routers (i.e. giving a datapath of up to 40Gbit for the bypass connection.) We have seen a significant increase in traffic over the bypass route since this change - well exceeding the previous 10Gbit limit. </t>
  </si>
  <si>
    <t>Contractor (Phani Yeluri) started to work in Database Team in early July.</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</si>
  <si>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</si>
  <si>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</si>
  <si>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A purchasing plan swas produced but changes in the amount of money available require the plan to be re-visited.</t>
  </si>
  <si>
    <t>Taking this as the purchasing plan for spendind within the 2016/17 FY. A plan was produced but has had to be changed as some spend originally earmarked for Tier2s is being moved to the Tier1.</t>
  </si>
  <si>
    <t>Nov '16</t>
  </si>
  <si>
    <t>Needs the plan to be finalised.</t>
  </si>
  <si>
    <t>Changes to purchasing plan may add delays and lead to purchasing items earlier at less favourable prices/performance.</t>
  </si>
  <si>
    <t>Purchasing against the revised plan will be prioritsied to expedite the processing and examined thoroughly.</t>
  </si>
  <si>
    <t>Propose Oct/Nov '16</t>
  </si>
  <si>
    <t>1.4.1 Produce the purchasing plan</t>
  </si>
  <si>
    <t>1.4.2 FY16 Capacity order placed</t>
  </si>
  <si>
    <t>Problem getting this figure for one of months.</t>
  </si>
  <si>
    <t>Smirnov, Packer, Contractor</t>
  </si>
  <si>
    <t>Bly, Hafeez, Harper, Walia, Chambers, Masaitis, Gale</t>
  </si>
  <si>
    <t xml:space="preserve"> 
(98.96, 100, 100) 
== 99.53</t>
  </si>
  <si>
    <t>(100,100,100)
==100</t>
  </si>
  <si>
    <t>Deployed v5.7 onto gocdb-test instance to include cursor-based paging and replace offset-based paging. 
Work with EGI + WLCG InfoSysTF to agree on new extensions for new write API and ServiceEndpoint extensions (longer term aim of reducing WLCG dependency on BDII)</t>
  </si>
  <si>
    <t>No major problems encountered. Service ran smoothly during this period. Response time for GGUS tickets well within OLA. Improved engagement with GridPP through attendance at GridPP37</t>
  </si>
  <si>
    <t>Period saw reduced staff numbers due to leave. However, only three days had no core APEL staff available and some limited cover was provided by colleagues.</t>
  </si>
  <si>
    <t>Q416</t>
  </si>
  <si>
    <t>Order for CPU &amp; disk storage received by vendor mid-Feb.</t>
  </si>
  <si>
    <t>On the 5th October the UKLight Router was replaced. As part of this the 'bypass' route for Tier1 data to non-OPN nodes was increased from 10 to 40Gbit.</t>
  </si>
  <si>
    <t>A long running problem of low-level packet loss was resolved when the old UKLight router was replaced.</t>
  </si>
  <si>
    <t>The second tranche of worker nodes (from HPE) were reinstalled with SL6 put into service at the start of December. This followed a period of testing with another configuration in readiness for CEPH deployment.</t>
  </si>
  <si>
    <t xml:space="preserve">In early October it was realized we had been running for a long time with a limit on the number of CMS batch jobs that was well below pledge. This limit was then quickly raised. A post mortem carried out to understand how that had arisen.
</t>
  </si>
  <si>
    <t>In early December there was a problem overnight with one of the Power Distribution Units to a rack in the UPS room which affected two network switches - which in turn affected some core services (including the TopBDII). The same PDU again showed this problem on the 23rd December and was swapped out ahead of the Christmas break.</t>
  </si>
  <si>
    <t xml:space="preserve">Early December the small LhcbUser disk pool was merged into the larger LhcbDst pool. This eased performance issues seen with small disk pools. </t>
  </si>
  <si>
    <t xml:space="preserve">In November additional disk servers were added to Castor: For Alice 5 extra servers, each 100TB. For LHCb 12 additional servers, each 120TB. This will enable both an increase in capacity and the withdrawal of some older (smaller capacity) disk servers.
In December firmware updates on one batch of older disk servers. (Work continued in next quarter on another batch). </t>
  </si>
  <si>
    <t>In response to Security announcement CVE-2016-5195 a number of services were stopped. In essence we stopped the batch system on Monday (24th Oct). Storage (Castor) was able to continue running. These services were resumed two days later after a patch had been received and applied.
In November test data was received from a second Dirac site (Leicester).</t>
  </si>
  <si>
    <t>During this time Production Team effort was significantly reduced with one full time member of staff (who was away for some of the time) plus less than 50% of the Team leader. An apprentice, at RAL for 3 days per week, started working in the team at teh start of a 6-month placement.</t>
  </si>
  <si>
    <t>Use of a contactor continued during this time as the database team was down to one member of staff. (When did Miguel start??)</t>
  </si>
  <si>
    <t>CASTOR/Tape/CEPH</t>
  </si>
  <si>
    <t>Ryall, Meredith</t>
  </si>
  <si>
    <t>Coveney, Corbett</t>
  </si>
  <si>
    <t>In November started writing LHCb data to the 'D' tapes and migrating their data onto these.</t>
  </si>
  <si>
    <t xml:space="preserve">GOCDB v5.7 was released into production, which inclues: a new write API for custom properties (as requested by WLCG InfoSys TF); optional cursor paging of API methods; and new attributes for some entities to enable ARGO monitoring to move away from relying on the BDII. 
A number of new service types have been added which have been contributed to GLUE2.   
No OLA violations for availability/reliablity and response times. </t>
  </si>
  <si>
    <t>No major issues</t>
  </si>
  <si>
    <t>Q117</t>
  </si>
  <si>
    <t>Comment Q416</t>
  </si>
  <si>
    <t>Comment Q117</t>
  </si>
  <si>
    <t>1.6.3</t>
  </si>
  <si>
    <t>1.6.1</t>
  </si>
  <si>
    <t>1.6.2</t>
  </si>
  <si>
    <t>7.3.1</t>
  </si>
  <si>
    <t>5.1.1</t>
  </si>
  <si>
    <t>5.1.2</t>
  </si>
  <si>
    <t>5.1.3</t>
  </si>
  <si>
    <t>5.1.4</t>
  </si>
  <si>
    <t>7.3.4</t>
  </si>
  <si>
    <t>1.2.13</t>
  </si>
  <si>
    <t>1.2.14</t>
  </si>
  <si>
    <t>1.2.4 &amp; 1.2.5</t>
  </si>
  <si>
    <t>4.1.2</t>
  </si>
  <si>
    <t>1.6.4</t>
  </si>
  <si>
    <t>1.6.5</t>
  </si>
  <si>
    <t>1.6.6</t>
  </si>
  <si>
    <t>7.3.5</t>
  </si>
  <si>
    <t>7.1.3</t>
  </si>
  <si>
    <t>7.1.4</t>
  </si>
  <si>
    <t>ECHO</t>
  </si>
  <si>
    <t>Castor was updated to version 2.1.15 during January/February.
At the end of the quarter a start was made on upgrading the SRMs to version 2.1.16 (and to run on SL6) although performance problems were subsequently encountered.</t>
  </si>
  <si>
    <t>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</si>
  <si>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 xml:space="preserve">Two of the chillers were replaced. One of those replaced had partly failed. </t>
  </si>
  <si>
    <t>There were two problems when a hypervisor in the Hyper-V virtual infrastructure crashing. The VMs were recovered but there was an effect on services while this happened.</t>
  </si>
  <si>
    <t>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</si>
  <si>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At the start of the year firmware updates were made to RAID cards in the Viglen '13 batch of disk servers.
Some of the 100TB  ’14 generation disk servershave been delpoyed in Castor. (These servers were originally used to test CEPH).</t>
  </si>
  <si>
    <t>Production team running well below staff complement. The plavcement of an apprentice in the team for siix months (Oct '16 - Mar '17) is helping.</t>
  </si>
  <si>
    <t>The Tier1 manager role continues to be covered by 20% of Andrew.
Database team now up to strength with two members of staff.</t>
  </si>
  <si>
    <t xml:space="preserve">The site and Top BDIIs were put behind load balancers.
A review of WMS usage shows ongoing interest in this service. </t>
  </si>
  <si>
    <t>Migration of LHCb data from 'C' to 'D' tapes has been completed. All Tier1 data is now on T10KD tapes.
Migration of services off SL5 as it has reached end of life.</t>
  </si>
  <si>
    <t>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</si>
  <si>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</si>
  <si>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The orders were placed and equipment received by the end of the FY.</t>
  </si>
  <si>
    <t>1.4.3.  FY16 Purchase in production</t>
  </si>
  <si>
    <t>1.4.4.  Tier-1 WLCG MoU commitments met</t>
  </si>
  <si>
    <t>1.4.5. Produce the purchasing plan</t>
  </si>
  <si>
    <t>April '17</t>
  </si>
  <si>
    <t>May '17</t>
  </si>
  <si>
    <t>June '17</t>
  </si>
  <si>
    <t>Equipment delivered but time needed for cabling and testing. Will be late.</t>
  </si>
  <si>
    <t>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</si>
  <si>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CERN will stop support for Castor.</t>
  </si>
  <si>
    <t>CERN have announces a replacement for Castor (for tape). An evaluation of the best way forward for future tape storage is being made.</t>
  </si>
  <si>
    <t>Oracle withdraw support for existing Tape infrastucture.</t>
  </si>
  <si>
    <t>Oracle have indicated that the next generation of tape drives/mdeia will not be produced. Track Oracle timeline for tape/media/librray support and be aware of the directions being taken by other sites.</t>
  </si>
  <si>
    <t>CEPH ECHO will not deliver storage reliably or be able to deliver the necessary access bandwidth.</t>
  </si>
  <si>
    <t>Tight management of the ECHO project is carefuly monitoring progress. A detailed risk register for ECHO has been produced.</t>
  </si>
  <si>
    <t>Escalated problem LHCb had with Castor while running stipping/merging campain. Led to reverting LHCb Castor SRM upgrade.</t>
  </si>
  <si>
    <t>Missing ALICE-specific xroot component after Castor 2.1.15 upgrade led to several days of test failure (inlcuing a weekend).</t>
  </si>
  <si>
    <t>See comment for metric 1.2.9.</t>
  </si>
  <si>
    <t>See comment for metric 1.2.8.</t>
  </si>
  <si>
    <t>There have been sporadic failures of the CMS SAM tests against the SRMs (timeouts) throught this period. Effort was directed at Castor upgrades (SRM and then Castor itself to improve this).</t>
  </si>
  <si>
    <t>See comment for metric 1.2.10 above. Plus in March CMS CE tests suffered from aa problem with argus plus another when a Hyperviosor failed affecting a number of virtual machines. This in turn affected CMS CE tests.</t>
  </si>
  <si>
    <t>Sporadic SRM test failures through the quarter. Some specific problems with the SRM led to more test failures on one or two days.</t>
  </si>
  <si>
    <t>See comment for metric 1.2.11.</t>
  </si>
  <si>
    <t>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</si>
  <si>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Smirnov, Packer, </t>
  </si>
  <si>
    <t>Reduced developer effort during Q117 (GR ~1mth leave, DM reduced effort). 
No major issues.</t>
  </si>
  <si>
    <t>(99.97, 99.61, 100)
==99.86</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</si>
  <si>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</si>
  <si>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 xml:space="preserve">Waiting on EGI to publish their stats. A quick look at Nagios over the quarter shows no availability issues. </t>
  </si>
  <si>
    <t>No major problems encountered. Service ran smoothly during this period. Response time for GGUS tickets well within OLA. Most machines migrated off SL5.</t>
  </si>
  <si>
    <t>Delayed hardware has meant that one machine is yet to be migrated off SL5. John Gordon retired in this period, but still in touch and helping occasionally.</t>
  </si>
  <si>
    <t>Q217</t>
  </si>
  <si>
    <t>Comment Q217</t>
  </si>
  <si>
    <t>Handover from DM to GR completed. 
Work on extending write API continuing</t>
  </si>
  <si>
    <t xml:space="preserve">No Major Issues. DM to move to other projects. </t>
  </si>
  <si>
    <t>No major problems encountered. Service ran smoothly during this period. Response time for GGUS tickets well within OLA.</t>
  </si>
  <si>
    <t>New hardware did arrive at last, but due to problems with sys admin availability, only now starting to work up a detailed schedule and plan for migration.</t>
  </si>
  <si>
    <t>There was a problem around to 30th April/1st May when one of the Atlas disks filled up and we failed tests consistently. There were also intermittent test failures before the Castor Atlas 2.1.16 upgrade which was done on the 25th May.</t>
  </si>
  <si>
    <t xml:space="preserve">Production team running well below staff complement. </t>
  </si>
  <si>
    <t>Castor and the SRMs were upgraded to version 2.1.16-13. This put us on a version similar to that running at CERN.
The upgrade of the SRMs (both a Castor update and OS update to SL6) meant we no longer had and external facining systems running SL5.</t>
  </si>
  <si>
    <t>There were significant problems with Castor for LHCb that led to the previous SRM update (on 23rd March) being reverted. This gave significant improvement.
There were some Castor problems following the upgrade to version 2.1.16-13 in May. Notably a problem for LHCB when a TURL returned by the SRM did not always work when used for xroot access. Also, Atlas encountered a problem where double-slashes ("//") in the incoming request filenames caused problems. These issues were resolved and led to more stable Castor operations.
There was a steady rate of CMS SAM test failures affecting availabilities.</t>
  </si>
  <si>
    <t>The two chillers replaced in the last quarter are working OK. They look like they will give will give a return on investment (in electricity costs) in around 5 years.</t>
  </si>
  <si>
    <t>At the end of April there was a failure of the UPS in building R89 when internal capacitors overheated. Following this there was no UPS (or diesel) backup to the machine room in R89. A replacement UPS was installed and commissioned during May.</t>
  </si>
  <si>
    <t>In May a problem with the site firewall was revealed. Initially being looked at owing to videoconferencing problems it became clear this has a significant effect on some of our data flows. Although much of our data flow bypasses the firewall this is a significant problem (e.g. for data flows to/from worker nodes) and is caused by a weakness in the current firewall. (The problem has not been resolved).</t>
  </si>
  <si>
    <t xml:space="preserve">In April The IPv6 addressing scheme was agreed and put in place. This was an enabler for IPv6 services. Also during Aril the Perfsonar nodes were set-up to work over IPv6 on the production Tier1 network.
Towards the end of June:
- The paired network link between R89 and R26 was switched from 2*10Gb/s to 2*40Gb/s.
- The OPN link to CERN was increased from 2*10Gb/s to 3*10Gb/s.
</t>
  </si>
  <si>
    <t>Echo has seen a number of issues arise as usage ramped up - and these have been successfully tackled:
During May problems were seen on the Echo xroot gateways. A xrootd proxy cache was then installed on these gateways and this resolved the issue. 
In June Echo saw an internal problem where the "Level DB"s on some OSDs (disk managers) had grown very large causing latency problems. The cause was understood and worked around by the introduction of the XRoot proxies. It was then possible to reduce the sizes of these databases. 
Also during June there were problems with the Echo gateways that coincided with a large increase in requests. In response the xrootd gateway was stopped for a few days and a concurrent connection limit applied to the GridFTP gateways. High memory usage was also observed and steps taken to reduce that.</t>
  </si>
  <si>
    <t xml:space="preserve">During May batch access was enabled for LIGO and the MICE pilot role.
Also during May the Edinburgh Dirac site started transferring data in production - initiall around 2 to 4TB per day. Then during June data startedshipping from the Leicester Dirac site. </t>
  </si>
  <si>
    <t>During May load balancers were set-up in front of the Argus service and the CEs configured to use these. This eliminated a  single-point of a failure for the batch system.</t>
  </si>
  <si>
    <t>We started seeing a high rate of cases where the RAID cards in one batch of disk servers (OCF '14) were flagging problems in disk drives but the vendor was finding no fault with the returned drives. In response during June a the firmware in all the RAID cards in this batch were updated to the latest version.</t>
  </si>
  <si>
    <t>During the quarter a start was made on installing xrootd gateways on worker nodes.</t>
  </si>
  <si>
    <t>Equipment delivered but further time needed for testing before going into production.</t>
  </si>
  <si>
    <t>During April Out of Hours cover for the Echo service started to be piloted. 
During May the GridFTP / XRootD plugins on the Echo gateways were successfully updated - changing the way checksums are stored. 
During May CMS successfully tested AAA access to ECHO over xrootd.
By the end of May atlas were storing 2Petabytes of data in Echo. Following this Atlas carried out a successful deletion test - as regular deletions (as well as creations) are needed for normal operations. 
During June an internal (transparent) change was successfully made to the Echo CMS pool to increase the number of placement groups. This improves the distribution of data and was being done ahead of adding more hardware capacity.</t>
  </si>
  <si>
    <t>Test failures dominated by problems in first part of quarter The causes are as detailed in the narrative section. (These led to the reversion of a previous SRM update and a problem with TURLs returned after the Castor upgrade.)</t>
  </si>
  <si>
    <t>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</si>
  <si>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See comment for metric 1.2.10</t>
  </si>
  <si>
    <t>See comment for metric 1.2.11</t>
  </si>
  <si>
    <t>Ongoing discussions with other communities. Some success with DiRAC.</t>
  </si>
  <si>
    <t>1.4.3 FY16 Purchase in production</t>
  </si>
  <si>
    <t>Apr '17</t>
  </si>
  <si>
    <t>1.4.4 Tier-1 WLCG MoU commitments met</t>
  </si>
  <si>
    <t>No milestones in next quarter.</t>
  </si>
  <si>
    <t>Planning underway. However, plean will not be finalised until much later than this.</t>
  </si>
  <si>
    <t>New equipment not in use. However, CPU commitment met and Echo storage coming onstream. Note that this report missing key metrics here.</t>
  </si>
  <si>
    <t>Oct '17</t>
  </si>
  <si>
    <t>Finalising the purchasing requires many discussions and usually cannot (or does not) start earlier.</t>
  </si>
  <si>
    <t>Tight management of the ECHO project is carefuly monitoring progress. A detailed risk register for ECHO has been produced. Staff are gaining operational experience with Echo now storing Atlas data.</t>
  </si>
  <si>
    <t>Q317</t>
  </si>
  <si>
    <t>Comment Q317</t>
  </si>
  <si>
    <t>Ryall</t>
  </si>
  <si>
    <t>New hardware finally up and running. Summary processing rate much increased by this change. No major problems encountered. Service ran smoothly during this period. Response time for GGUS tickets well within OLA.</t>
  </si>
  <si>
    <t>A couple of days had no cover by core APEL staff due to coincident leave.</t>
  </si>
  <si>
    <t>In July and August there were some problems with Atlas Castor. One was specifically accessing the Atlas Scratch Disk, another affected the SRMs. During August  small AtlasScratchDisk was merged into the larger AtlasDataDisk pool in Castor. This had the effect of removing the bottleneck caused by the small AtlasScratchDisk pool which affected the rate at which files could be transferred in/out.
Enabled access to Castor for the SOLID experiment.</t>
  </si>
  <si>
    <t xml:space="preserve">During August one of the three links that make up the OPN connection was moved to a new circuit that uses a different route - improving resilience of the overall OPN link.
</t>
  </si>
  <si>
    <t>There is an ongoing problem on the site firewall which is causing problems for some specific data flows that pass through the firewall.
There was a site networking problem overnight at the end of July. One of the RAL core network stacks stopped working correctly in the early hours one morning. The Tier1 router pair flipped between the connections to the core networkj stacks several times. However, the one failing stack was in a bad shape and even when nominally up was not working correctly leading to the flipping. The faulty stack was stopped in the morning restoring network connectivity.
Following the above there was a further problem on the 2nd August. After the previous problem we had set our router pair (the Extreme X670s) to not flip back to use the link to the (then) failing stack. However, during work to resolve the problem on the failed core stack our second link to another core stack went down - it appears our routers thought there was a network loop. This caused the Extreme x670 router pair to try  switching back to the other connection. The upshot was a complete break in Tier1 connectivity to the core for around an hour. There was some delay in re-establishing IPv6 connectivity after this event.</t>
  </si>
  <si>
    <t>There was a problem with the test FTS3 service (used by Atlas) at the end of July. The system hit a limit of having done 2 billion file transfers. An emergency update was applied.</t>
  </si>
  <si>
    <t>The RAID card firmware was updated on one batch of disk servers (OCF '14) in July. Also during July the wide area network tuning parameters were updated on Castor disk servers. (This had previously been applied to some of the servers - this completed the roll-out.)
During this quarter 6 additional disk servers have been deployed into each of AtlasTape, CMSTape and lhcbRawRdst (All D0T1 areas) in Castor.</t>
  </si>
  <si>
    <t>In mid-July data started to be received from the Dirac Leicester site. By the end of this quarter we had a total of about 2PBytes of data from a total of 4 of the Dirac sites.</t>
  </si>
  <si>
    <t xml:space="preserve">Power work was carried out in building R26 (the Atlas building) over the weekend of 29/30 July. This had no impact on our operational services.
There was a successful UPS/Generator load test on 9th August. These are done quarterly and this was the first regular test since the building UPS was replaced. (It had been tested shortly after installation). </t>
  </si>
  <si>
    <t xml:space="preserve">In July access to FTS via the SOAP interface was stopped. This enabled the FTS service to be subsequently upgraded to a newer version.
By early August all squid nodes have been enabled with IPv4/IPv6 dual stack and in mid-August the CVMFS Stratum-1 service also had IPv4/6 dual stack enabled.
The moving of VMs off our old Windows HyperV2008 infrastructure to hypervisors running HyperV2012 was largely complete at the end of the quarter. </t>
  </si>
  <si>
    <t>Others starting to gain knowledge to gain resiliency of service.</t>
  </si>
  <si>
    <t>Availability of effort.</t>
  </si>
  <si>
    <t>A couple of instances during the quarter where CMSDisk became full. This affected the SAM SRM tests and hence CMS availability. 
At the start of the quarter we were still seeing a high rate of failures of the CMS SAM tests against the SRM which affected the (CMS) availabilities. However, around the middle of the quarter the test success rate improved markedly although we do not understand why.
In August four files were reported lost to CMS from a tape. During a CMS mass recall the monitoring noted that one tape was generating errors and causing tape drives to go down. The tape was put into repack. After various attempts at repacking and reading files direct from tape, four files were left unreadable.
In September six disk servers from 2012 batches were deployed into the LHCb tape buffer. Some problems were encountered with SAM tests failing - ultimately traced to configuration problems on a couple of these additional disk servers. LHCb did not report operational problems resulting from this.</t>
  </si>
  <si>
    <t>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</si>
  <si>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In first part of quarter there were problems that appeared in the SRMs that were thought to be due to Castor performance issues. The merging of the small AtlasScratchDisk pool into a larger disk pool alleviated these. (See Narrative).</t>
  </si>
  <si>
    <t xml:space="preserve">Planning completed so that tenders could be issued. </t>
  </si>
  <si>
    <t>It may take a while to get the disk servers into Echo.</t>
  </si>
  <si>
    <t>As shown in metrics.</t>
  </si>
  <si>
    <t>CPU in use. Storage awaiting further work in Echo.</t>
  </si>
  <si>
    <t>Tight management of the ECHO project is carefuly monitoring progress. There has been one notable data loss incident. However, experience so far corroborates that expected from the risk register. As experience is being gained this risk is diminishing.</t>
  </si>
  <si>
    <t>Tenders issued at end of November.</t>
  </si>
  <si>
    <t>1.4.6 FY17 Capacity order placed</t>
  </si>
  <si>
    <t>Nov '17</t>
  </si>
  <si>
    <t>Media errors that were flushed out as Atlas data was moved (rebalanced) onto the newly-added hardware (the rest of the 2015 batch) led to problems within CEPH. At the end of August there was a loss of around 22,000 Atlas files (of which 3285 files were unique). One CEPH "placement group" was lost. This problem was understood - and a bug in CEPH identified.  Media errors in the  hardware that has been added into Echo exposed a bug in the CEPH Erasure Coding when back-filling. Careful management of disk errors as the data was moved onto new servers was necessary. The rebalancing proceeded much more slowly than anticipated and was still ongoing at the end of the quarter.
The above problem aslo uncovered a separate problem (subsequently solved) with the Echo gateways (including those on the worker nodes) which created many threads - blocking activity.
Post mortem for data loss at: https://www.gridpp.ac.uk/wiki/RAL_Tier1_Incident_20170818_first_Echo_data_loss</t>
  </si>
  <si>
    <t>Figure dominated by September availability at 88%. Problem with two disk servers added into Castor gave problems for SAM tests although LHCb did did not report problems. Also noted in Narrative section.</t>
  </si>
  <si>
    <t>The (2015) disk servers added into Echo gave problems owing to a higher-than-expected rate of disk errors. The servers had been put into a Ceph test area and exercised. However, this was clearly insufficient to shake out enough of the disk problems and the process will be re-visited. The error rates seen on the disks drives used in Echo are requiring careful management which is taking more effort than anticipated.</t>
  </si>
  <si>
    <t xml:space="preserve">In July a test gateway to Echo was made dual stack and test transfers have been shown to work over IPv6 to/from CERN. 
At the start of the quarter the number of placement groups in the Echo CEPH Atlas pool was steadily increased in preparation for the increase in storage capacity when new hardware was added.  This was completed early August, and then by mid-August all the 2015 capacity storage had been put into Echo giving around 13.4Petabytes of space raw or approximately 10PBytes of usable space. Work then started to re-balance the existing data across all the storage.
In early September there was a successful test transfer of CMS data into Echo using PhEDEx.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</si>
</sst>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00"/>
    <numFmt numFmtId="165" formatCode="0.0"/>
    <numFmt numFmtId="166" formatCode="0.0%"/>
  </numFmts>
  <fonts count="14" x14ac:knownFonts="1">
    <font>
      <sz val="10"/>
      <name val="Arial"/>
    </font>
    <font>
      <sz val="10"/>
      <name val="Arial"/>
      <family val="2"/>
    </font>
    <font>
      <b/>
      <sz val="10"/>
      <name val="Arial"/>
      <family val="2"/>
    </font>
    <font>
      <b/>
      <sz val="10"/>
      <name val="Arial"/>
      <family val="2"/>
    </font>
    <font>
      <sz val="10"/>
      <name val="Arial"/>
      <family val="2"/>
    </font>
    <font>
      <sz val="8"/>
      <color indexed="81"/>
      <name val="Tahoma"/>
      <family val="2"/>
    </font>
    <font>
      <sz val="12"/>
      <name val="Arial"/>
      <family val="2"/>
    </font>
    <font>
      <b/>
      <sz val="12"/>
      <name val="Arial"/>
      <family val="2"/>
    </font>
    <font>
      <u/>
      <sz val="10"/>
      <color theme="10"/>
      <name val="Arial"/>
      <family val="2"/>
    </font>
    <font>
      <u/>
      <sz val="10"/>
      <color theme="11"/>
      <name val="Arial"/>
      <family val="2"/>
    </font>
    <font>
      <sz val="10"/>
      <color rgb="FFFF0000"/>
      <name val="Arial"/>
      <family val="2"/>
    </font>
    <font>
      <b/>
      <sz val="9"/>
      <color indexed="81"/>
      <name val="Tahoma"/>
      <family val="2"/>
    </font>
    <font>
      <sz val="9"/>
      <color indexed="81"/>
      <name val="Tahoma"/>
      <family val="2"/>
    </font>
    <font>
      <i/>
      <sz val="10"/>
      <name val="Arial"/>
      <family val="2"/>
    </font>
  </fonts>
  <fills count="19">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52"/>
        <bgColor indexed="64"/>
      </patternFill>
    </fill>
    <fill>
      <patternFill patternType="solid">
        <fgColor indexed="46"/>
        <bgColor indexed="64"/>
      </patternFill>
    </fill>
    <fill>
      <patternFill patternType="solid">
        <fgColor indexed="12"/>
        <bgColor indexed="64"/>
      </patternFill>
    </fill>
    <fill>
      <patternFill patternType="solid">
        <fgColor indexed="4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9"/>
        <bgColor indexed="64"/>
      </patternFill>
    </fill>
  </fills>
  <borders count="83">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auto="1"/>
      </left>
      <right/>
      <top style="thin">
        <color auto="1"/>
      </top>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42">
    <xf numFmtId="0" fontId="0" fillId="0" borderId="0"/>
    <xf numFmtId="0" fontId="4"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472">
    <xf numFmtId="0" fontId="0" fillId="0" borderId="0" xfId="0"/>
    <xf numFmtId="0" fontId="2" fillId="0" borderId="0" xfId="0" applyFont="1"/>
    <xf numFmtId="0" fontId="3" fillId="3" borderId="11" xfId="0" applyFont="1" applyFill="1" applyBorder="1"/>
    <xf numFmtId="0" fontId="0" fillId="3" borderId="12" xfId="0" applyFill="1" applyBorder="1"/>
    <xf numFmtId="0" fontId="3" fillId="2" borderId="13" xfId="0" applyFont="1" applyFill="1" applyBorder="1"/>
    <xf numFmtId="0" fontId="3" fillId="2" borderId="14" xfId="0" applyFont="1" applyFill="1" applyBorder="1"/>
    <xf numFmtId="0" fontId="3" fillId="3" borderId="1" xfId="0" applyFont="1" applyFill="1" applyBorder="1"/>
    <xf numFmtId="0" fontId="3" fillId="3" borderId="16" xfId="0" applyFont="1" applyFill="1" applyBorder="1"/>
    <xf numFmtId="0" fontId="3" fillId="3" borderId="3" xfId="0" applyFont="1" applyFill="1" applyBorder="1"/>
    <xf numFmtId="0" fontId="0" fillId="3" borderId="15" xfId="0" applyFill="1" applyBorder="1"/>
    <xf numFmtId="0" fontId="3" fillId="2" borderId="11" xfId="0" applyFont="1" applyFill="1" applyBorder="1"/>
    <xf numFmtId="0" fontId="0" fillId="4" borderId="5" xfId="0" applyFill="1" applyBorder="1"/>
    <xf numFmtId="0" fontId="0" fillId="0" borderId="8" xfId="0" applyBorder="1"/>
    <xf numFmtId="0" fontId="0" fillId="5" borderId="18" xfId="0" applyFill="1" applyBorder="1"/>
    <xf numFmtId="0" fontId="0" fillId="0" borderId="19" xfId="0" applyBorder="1"/>
    <xf numFmtId="0" fontId="0" fillId="0" borderId="18" xfId="0" applyFill="1" applyBorder="1"/>
    <xf numFmtId="0" fontId="0" fillId="6" borderId="20" xfId="0" applyFill="1" applyBorder="1"/>
    <xf numFmtId="0" fontId="0" fillId="0" borderId="21" xfId="0" applyBorder="1"/>
    <xf numFmtId="0" fontId="3" fillId="2" borderId="22" xfId="0" applyFont="1" applyFill="1" applyBorder="1"/>
    <xf numFmtId="0" fontId="0" fillId="0" borderId="23" xfId="0" applyFill="1" applyBorder="1"/>
    <xf numFmtId="0" fontId="0" fillId="0" borderId="24" xfId="0" applyFill="1" applyBorder="1"/>
    <xf numFmtId="0" fontId="0" fillId="0" borderId="12" xfId="0" applyFill="1" applyBorder="1"/>
    <xf numFmtId="0" fontId="0" fillId="0" borderId="25" xfId="0" applyFill="1" applyBorder="1"/>
    <xf numFmtId="0" fontId="1" fillId="7" borderId="18" xfId="0" applyFont="1" applyFill="1" applyBorder="1"/>
    <xf numFmtId="0" fontId="0" fillId="4" borderId="26" xfId="0" applyFill="1" applyBorder="1"/>
    <xf numFmtId="0" fontId="0" fillId="5" borderId="27" xfId="0" applyFill="1" applyBorder="1"/>
    <xf numFmtId="0" fontId="0" fillId="8" borderId="27" xfId="0" applyFill="1" applyBorder="1"/>
    <xf numFmtId="0" fontId="0" fillId="0" borderId="0" xfId="0" applyAlignment="1">
      <alignment wrapText="1"/>
    </xf>
    <xf numFmtId="0" fontId="0" fillId="0" borderId="0" xfId="0" applyFill="1" applyBorder="1"/>
    <xf numFmtId="0" fontId="3" fillId="2" borderId="0" xfId="0" applyFont="1" applyFill="1" applyBorder="1"/>
    <xf numFmtId="0" fontId="0" fillId="0" borderId="0" xfId="0" applyFill="1"/>
    <xf numFmtId="0" fontId="4" fillId="0" borderId="0" xfId="0" applyFont="1" applyFill="1" applyBorder="1" applyAlignment="1">
      <alignment horizontal="left" vertical="top" wrapText="1"/>
    </xf>
    <xf numFmtId="15" fontId="4" fillId="0" borderId="0" xfId="0" applyNumberFormat="1" applyFont="1" applyFill="1" applyBorder="1" applyAlignment="1">
      <alignment horizontal="center" vertical="top" wrapText="1"/>
    </xf>
    <xf numFmtId="0" fontId="0" fillId="7" borderId="0" xfId="0" applyFill="1"/>
    <xf numFmtId="0" fontId="0" fillId="0" borderId="30" xfId="0" applyFill="1" applyBorder="1" applyAlignment="1">
      <alignment wrapText="1"/>
    </xf>
    <xf numFmtId="0" fontId="0" fillId="0" borderId="23" xfId="0" applyFill="1" applyBorder="1" applyAlignment="1">
      <alignment wrapText="1"/>
    </xf>
    <xf numFmtId="0" fontId="3" fillId="0" borderId="0" xfId="0" applyFont="1" applyFill="1" applyBorder="1"/>
    <xf numFmtId="164" fontId="3" fillId="2" borderId="27" xfId="0" applyNumberFormat="1" applyFont="1" applyFill="1" applyBorder="1" applyAlignment="1">
      <alignment wrapText="1"/>
    </xf>
    <xf numFmtId="0" fontId="0" fillId="0" borderId="33" xfId="0" applyBorder="1"/>
    <xf numFmtId="0" fontId="4" fillId="0" borderId="33" xfId="0" applyFont="1" applyFill="1" applyBorder="1" applyAlignment="1">
      <alignment horizontal="left" vertical="top" wrapText="1"/>
    </xf>
    <xf numFmtId="9" fontId="4" fillId="0" borderId="34" xfId="0" applyNumberFormat="1" applyFont="1" applyFill="1" applyBorder="1" applyAlignment="1">
      <alignment horizontal="left" vertical="top" wrapText="1"/>
    </xf>
    <xf numFmtId="0" fontId="4" fillId="0" borderId="34" xfId="0" applyFont="1" applyFill="1" applyBorder="1" applyAlignment="1">
      <alignment horizontal="left" vertical="top" wrapText="1"/>
    </xf>
    <xf numFmtId="0" fontId="3" fillId="2" borderId="31" xfId="0" applyFont="1" applyFill="1" applyBorder="1" applyAlignment="1">
      <alignment wrapText="1"/>
    </xf>
    <xf numFmtId="0" fontId="3" fillId="2" borderId="36" xfId="0" applyFont="1" applyFill="1" applyBorder="1" applyAlignment="1">
      <alignment wrapText="1"/>
    </xf>
    <xf numFmtId="0" fontId="4" fillId="0" borderId="32" xfId="0" applyFont="1" applyFill="1" applyBorder="1" applyAlignment="1">
      <alignment horizontal="left" vertical="top" wrapText="1"/>
    </xf>
    <xf numFmtId="9" fontId="4" fillId="0" borderId="38" xfId="0" applyNumberFormat="1" applyFont="1" applyFill="1" applyBorder="1" applyAlignment="1">
      <alignment horizontal="left" vertical="top" wrapText="1"/>
    </xf>
    <xf numFmtId="0" fontId="0" fillId="0" borderId="4" xfId="0" applyBorder="1" applyAlignment="1">
      <alignment wrapText="1"/>
    </xf>
    <xf numFmtId="0" fontId="0" fillId="0" borderId="39" xfId="0" applyBorder="1" applyAlignment="1">
      <alignment wrapText="1"/>
    </xf>
    <xf numFmtId="0" fontId="0" fillId="0" borderId="40" xfId="0" applyBorder="1" applyAlignment="1">
      <alignment wrapText="1"/>
    </xf>
    <xf numFmtId="0" fontId="2" fillId="3" borderId="5" xfId="0" applyFont="1" applyFill="1" applyBorder="1" applyAlignment="1">
      <alignment wrapText="1"/>
    </xf>
    <xf numFmtId="0" fontId="3" fillId="0" borderId="0" xfId="0" applyFont="1"/>
    <xf numFmtId="0" fontId="0" fillId="9" borderId="0" xfId="0" applyFill="1"/>
    <xf numFmtId="0" fontId="0" fillId="10" borderId="0" xfId="0" applyFill="1"/>
    <xf numFmtId="0" fontId="0" fillId="0" borderId="47" xfId="0" applyBorder="1" applyAlignment="1">
      <alignment horizontal="center" vertical="center" wrapText="1"/>
    </xf>
    <xf numFmtId="14" fontId="0" fillId="0" borderId="48" xfId="0" applyNumberFormat="1" applyBorder="1" applyAlignment="1">
      <alignment horizontal="center" vertical="center" wrapText="1"/>
    </xf>
    <xf numFmtId="0" fontId="4" fillId="0" borderId="48" xfId="0" applyFont="1" applyBorder="1" applyAlignment="1">
      <alignment horizontal="left"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4" fillId="0" borderId="2" xfId="0" applyFont="1"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3" borderId="16" xfId="0" applyFont="1" applyFill="1" applyBorder="1"/>
    <xf numFmtId="0" fontId="4" fillId="0" borderId="0" xfId="0" applyFont="1"/>
    <xf numFmtId="0" fontId="0" fillId="8" borderId="0" xfId="0" applyFill="1"/>
    <xf numFmtId="0" fontId="2" fillId="0" borderId="28" xfId="0" applyFont="1" applyFill="1" applyBorder="1" applyAlignment="1">
      <alignment vertical="center" wrapText="1"/>
    </xf>
    <xf numFmtId="0" fontId="2" fillId="0" borderId="31" xfId="0" applyFont="1" applyFill="1" applyBorder="1" applyAlignment="1">
      <alignment vertical="center" wrapText="1"/>
    </xf>
    <xf numFmtId="0" fontId="3" fillId="0" borderId="31" xfId="0" applyFont="1" applyFill="1" applyBorder="1" applyAlignment="1">
      <alignment vertical="center" wrapText="1"/>
    </xf>
    <xf numFmtId="0" fontId="2" fillId="0" borderId="29" xfId="0" applyFont="1" applyFill="1" applyBorder="1" applyAlignment="1">
      <alignment vertical="center" wrapText="1"/>
    </xf>
    <xf numFmtId="0" fontId="4" fillId="11" borderId="33" xfId="0" applyFont="1" applyFill="1" applyBorder="1" applyAlignment="1">
      <alignment wrapText="1"/>
    </xf>
    <xf numFmtId="9" fontId="4" fillId="12" borderId="34" xfId="0" applyNumberFormat="1" applyFont="1" applyFill="1" applyBorder="1" applyAlignment="1">
      <alignment horizontal="left" vertical="top" wrapText="1"/>
    </xf>
    <xf numFmtId="2" fontId="0" fillId="0" borderId="0" xfId="0" applyNumberFormat="1" applyFill="1"/>
    <xf numFmtId="0" fontId="1" fillId="0" borderId="23" xfId="0" applyFont="1" applyFill="1" applyBorder="1"/>
    <xf numFmtId="164" fontId="2" fillId="2" borderId="27" xfId="0" applyNumberFormat="1" applyFont="1" applyFill="1" applyBorder="1" applyAlignment="1">
      <alignment wrapText="1"/>
    </xf>
    <xf numFmtId="164" fontId="3" fillId="0" borderId="27" xfId="0" applyNumberFormat="1" applyFont="1" applyFill="1" applyBorder="1" applyAlignment="1">
      <alignment wrapText="1"/>
    </xf>
    <xf numFmtId="0" fontId="3" fillId="0" borderId="31" xfId="0" applyFont="1" applyFill="1" applyBorder="1" applyAlignment="1">
      <alignment wrapText="1"/>
    </xf>
    <xf numFmtId="0" fontId="0" fillId="0" borderId="33" xfId="0" applyFill="1" applyBorder="1" applyAlignment="1">
      <alignment wrapText="1"/>
    </xf>
    <xf numFmtId="164" fontId="3" fillId="0" borderId="35" xfId="0" applyNumberFormat="1" applyFont="1" applyFill="1" applyBorder="1" applyAlignment="1">
      <alignment wrapText="1"/>
    </xf>
    <xf numFmtId="0" fontId="3" fillId="0" borderId="36" xfId="0" applyFont="1" applyFill="1" applyBorder="1" applyAlignment="1">
      <alignment wrapText="1"/>
    </xf>
    <xf numFmtId="0" fontId="0" fillId="0" borderId="37" xfId="0" applyFill="1" applyBorder="1" applyAlignment="1">
      <alignment wrapText="1"/>
    </xf>
    <xf numFmtId="0" fontId="0" fillId="0" borderId="32" xfId="0" applyFill="1" applyBorder="1" applyAlignment="1">
      <alignment wrapText="1"/>
    </xf>
    <xf numFmtId="0" fontId="0" fillId="0" borderId="25" xfId="0" applyFill="1" applyBorder="1" applyAlignment="1">
      <alignment wrapText="1"/>
    </xf>
    <xf numFmtId="0" fontId="2" fillId="3" borderId="23" xfId="0" applyFont="1" applyFill="1" applyBorder="1" applyAlignment="1">
      <alignment wrapText="1"/>
    </xf>
    <xf numFmtId="0" fontId="2" fillId="3" borderId="12" xfId="0" applyFont="1" applyFill="1" applyBorder="1" applyAlignment="1">
      <alignment wrapText="1"/>
    </xf>
    <xf numFmtId="0" fontId="2" fillId="2" borderId="25" xfId="0" applyFont="1" applyFill="1" applyBorder="1" applyAlignment="1">
      <alignment wrapText="1"/>
    </xf>
    <xf numFmtId="0" fontId="2" fillId="2" borderId="23" xfId="0" applyFont="1" applyFill="1" applyBorder="1" applyAlignment="1">
      <alignment wrapText="1"/>
    </xf>
    <xf numFmtId="0" fontId="2" fillId="3" borderId="25" xfId="0" applyFont="1" applyFill="1" applyBorder="1" applyAlignment="1">
      <alignment wrapText="1"/>
    </xf>
    <xf numFmtId="0" fontId="2" fillId="3" borderId="24" xfId="0" applyFont="1" applyFill="1" applyBorder="1" applyAlignment="1">
      <alignment wrapText="1"/>
    </xf>
    <xf numFmtId="9" fontId="4" fillId="12" borderId="30" xfId="0" applyNumberFormat="1" applyFont="1" applyFill="1" applyBorder="1" applyAlignment="1">
      <alignment horizontal="left" vertical="top" wrapText="1"/>
    </xf>
    <xf numFmtId="9" fontId="4" fillId="12" borderId="33" xfId="0" applyNumberFormat="1" applyFont="1" applyFill="1" applyBorder="1" applyAlignment="1">
      <alignment horizontal="left" vertical="top" wrapText="1"/>
    </xf>
    <xf numFmtId="9" fontId="4" fillId="12" borderId="51" xfId="0" applyNumberFormat="1" applyFont="1" applyFill="1" applyBorder="1" applyAlignment="1">
      <alignment horizontal="left" vertical="top" wrapText="1"/>
    </xf>
    <xf numFmtId="165" fontId="4" fillId="12" borderId="33" xfId="0" applyNumberFormat="1" applyFont="1" applyFill="1" applyBorder="1" applyAlignment="1">
      <alignment horizontal="left" vertical="top" wrapText="1"/>
    </xf>
    <xf numFmtId="1" fontId="4" fillId="0" borderId="34" xfId="0" applyNumberFormat="1" applyFont="1" applyFill="1" applyBorder="1" applyAlignment="1">
      <alignment horizontal="left" vertical="top" wrapText="1"/>
    </xf>
    <xf numFmtId="1" fontId="4" fillId="12" borderId="33" xfId="0" applyNumberFormat="1" applyFont="1" applyFill="1" applyBorder="1" applyAlignment="1">
      <alignment horizontal="left" vertical="top" wrapText="1"/>
    </xf>
    <xf numFmtId="1" fontId="1" fillId="0" borderId="34" xfId="0" applyNumberFormat="1" applyFont="1" applyFill="1" applyBorder="1" applyAlignment="1">
      <alignment horizontal="left" vertical="top" wrapText="1"/>
    </xf>
    <xf numFmtId="0" fontId="1" fillId="0" borderId="0" xfId="0" applyFont="1" applyFill="1" applyAlignment="1">
      <alignment wrapText="1"/>
    </xf>
    <xf numFmtId="0" fontId="1" fillId="0" borderId="23" xfId="0" applyFont="1" applyFill="1" applyBorder="1" applyAlignment="1">
      <alignment wrapText="1"/>
    </xf>
    <xf numFmtId="0" fontId="6" fillId="0" borderId="0" xfId="0" applyFont="1" applyFill="1"/>
    <xf numFmtId="0" fontId="7" fillId="0" borderId="1" xfId="0" applyFont="1" applyFill="1" applyBorder="1"/>
    <xf numFmtId="0" fontId="7" fillId="0" borderId="15" xfId="0" applyFont="1" applyFill="1" applyBorder="1"/>
    <xf numFmtId="0" fontId="7" fillId="0" borderId="22" xfId="0" applyFont="1" applyFill="1" applyBorder="1"/>
    <xf numFmtId="0" fontId="6" fillId="0" borderId="25" xfId="0" applyFont="1" applyFill="1" applyBorder="1"/>
    <xf numFmtId="0" fontId="7" fillId="0" borderId="13" xfId="0" applyFont="1" applyFill="1" applyBorder="1"/>
    <xf numFmtId="0" fontId="7" fillId="0" borderId="14" xfId="0" applyFont="1" applyFill="1" applyBorder="1"/>
    <xf numFmtId="0" fontId="6" fillId="0" borderId="24" xfId="0" applyFont="1" applyFill="1" applyBorder="1"/>
    <xf numFmtId="0" fontId="7" fillId="0" borderId="0" xfId="0" applyFont="1" applyFill="1"/>
    <xf numFmtId="0" fontId="7" fillId="0" borderId="2" xfId="0" applyFont="1" applyFill="1" applyBorder="1" applyAlignment="1">
      <alignment wrapText="1"/>
    </xf>
    <xf numFmtId="0" fontId="7" fillId="0" borderId="17"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7" fillId="0" borderId="28" xfId="0" applyFont="1" applyFill="1" applyBorder="1" applyAlignment="1">
      <alignment wrapText="1"/>
    </xf>
    <xf numFmtId="0" fontId="7" fillId="0" borderId="41" xfId="1" applyFont="1" applyFill="1" applyBorder="1"/>
    <xf numFmtId="0" fontId="7" fillId="0" borderId="41" xfId="0" applyFont="1" applyFill="1" applyBorder="1" applyAlignment="1">
      <alignment wrapText="1"/>
    </xf>
    <xf numFmtId="0" fontId="7" fillId="0" borderId="31" xfId="0" applyFont="1" applyFill="1" applyBorder="1" applyAlignment="1">
      <alignment wrapText="1"/>
    </xf>
    <xf numFmtId="0" fontId="7" fillId="0" borderId="42" xfId="1" applyFont="1" applyFill="1" applyBorder="1"/>
    <xf numFmtId="0" fontId="7" fillId="0" borderId="42" xfId="0" applyFont="1" applyFill="1" applyBorder="1" applyAlignment="1">
      <alignment wrapText="1"/>
    </xf>
    <xf numFmtId="0" fontId="7" fillId="0" borderId="20" xfId="0" applyFont="1" applyFill="1" applyBorder="1"/>
    <xf numFmtId="0" fontId="7" fillId="0" borderId="44" xfId="0" applyFont="1" applyFill="1" applyBorder="1"/>
    <xf numFmtId="0" fontId="7" fillId="0" borderId="21" xfId="0" applyFont="1" applyFill="1" applyBorder="1"/>
    <xf numFmtId="2" fontId="7" fillId="0" borderId="1" xfId="0" applyNumberFormat="1" applyFont="1" applyFill="1" applyBorder="1"/>
    <xf numFmtId="0" fontId="6" fillId="0" borderId="0" xfId="0" applyFont="1"/>
    <xf numFmtId="2" fontId="6" fillId="0" borderId="0" xfId="0" applyNumberFormat="1" applyFont="1"/>
    <xf numFmtId="0" fontId="6" fillId="0" borderId="0" xfId="1" applyFont="1"/>
    <xf numFmtId="0" fontId="1" fillId="0" borderId="0" xfId="0" applyFont="1" applyFill="1"/>
    <xf numFmtId="0" fontId="1" fillId="0" borderId="0" xfId="0" applyFont="1" applyFill="1" applyBorder="1"/>
    <xf numFmtId="2" fontId="1" fillId="12" borderId="33" xfId="0" applyNumberFormat="1" applyFont="1" applyFill="1" applyBorder="1" applyAlignment="1">
      <alignment horizontal="left" vertical="top" wrapText="1"/>
    </xf>
    <xf numFmtId="9" fontId="4" fillId="13" borderId="34" xfId="0" applyNumberFormat="1" applyFont="1" applyFill="1" applyBorder="1" applyAlignment="1">
      <alignment horizontal="left" vertical="top" wrapText="1"/>
    </xf>
    <xf numFmtId="0" fontId="0" fillId="12" borderId="33" xfId="0" applyFill="1" applyBorder="1" applyAlignment="1">
      <alignment horizontal="left"/>
    </xf>
    <xf numFmtId="9" fontId="0" fillId="12" borderId="33" xfId="0" applyNumberFormat="1" applyFont="1" applyFill="1" applyBorder="1" applyAlignment="1">
      <alignment horizontal="left" vertical="top" wrapText="1"/>
    </xf>
    <xf numFmtId="0" fontId="4" fillId="0" borderId="23" xfId="0" applyFont="1" applyFill="1" applyBorder="1" applyAlignment="1">
      <alignment wrapText="1"/>
    </xf>
    <xf numFmtId="0" fontId="0" fillId="14" borderId="33" xfId="0" applyFill="1" applyBorder="1"/>
    <xf numFmtId="0" fontId="4" fillId="14" borderId="32" xfId="0" applyFont="1" applyFill="1" applyBorder="1" applyAlignment="1">
      <alignment wrapText="1"/>
    </xf>
    <xf numFmtId="0" fontId="4" fillId="14" borderId="33" xfId="0" applyFont="1" applyFill="1" applyBorder="1" applyAlignment="1">
      <alignment wrapText="1"/>
    </xf>
    <xf numFmtId="0" fontId="0" fillId="14" borderId="33" xfId="0" applyFill="1" applyBorder="1" applyAlignment="1">
      <alignment wrapText="1"/>
    </xf>
    <xf numFmtId="0" fontId="0" fillId="0" borderId="0" xfId="0" applyBorder="1" applyAlignment="1">
      <alignment wrapText="1"/>
    </xf>
    <xf numFmtId="166" fontId="4" fillId="12" borderId="34" xfId="0" applyNumberFormat="1" applyFont="1" applyFill="1" applyBorder="1" applyAlignment="1">
      <alignment horizontal="left" vertical="top" wrapText="1"/>
    </xf>
    <xf numFmtId="0" fontId="0" fillId="0" borderId="0" xfId="0" applyFill="1" applyAlignment="1">
      <alignment wrapText="1"/>
    </xf>
    <xf numFmtId="9" fontId="4" fillId="12" borderId="59" xfId="0" applyNumberFormat="1" applyFont="1" applyFill="1" applyBorder="1" applyAlignment="1">
      <alignment horizontal="left" vertical="top" wrapText="1"/>
    </xf>
    <xf numFmtId="166" fontId="4" fillId="12" borderId="33" xfId="0" applyNumberFormat="1" applyFont="1" applyFill="1" applyBorder="1" applyAlignment="1">
      <alignment horizontal="left" vertical="top" wrapText="1"/>
    </xf>
    <xf numFmtId="2" fontId="6" fillId="12" borderId="52" xfId="0" applyNumberFormat="1" applyFont="1" applyFill="1" applyBorder="1" applyAlignment="1">
      <alignment wrapText="1"/>
    </xf>
    <xf numFmtId="2" fontId="6" fillId="12" borderId="37" xfId="0" applyNumberFormat="1" applyFont="1" applyFill="1" applyBorder="1" applyAlignment="1">
      <alignment wrapText="1"/>
    </xf>
    <xf numFmtId="2" fontId="6" fillId="12" borderId="30" xfId="0" applyNumberFormat="1" applyFont="1" applyFill="1" applyBorder="1" applyAlignment="1">
      <alignment wrapText="1"/>
    </xf>
    <xf numFmtId="2" fontId="6" fillId="12" borderId="53" xfId="0" applyNumberFormat="1" applyFont="1" applyFill="1" applyBorder="1" applyAlignment="1">
      <alignment wrapText="1"/>
    </xf>
    <xf numFmtId="0" fontId="0" fillId="0" borderId="42" xfId="0" applyBorder="1" applyAlignment="1">
      <alignment wrapText="1"/>
    </xf>
    <xf numFmtId="0" fontId="0" fillId="0" borderId="42" xfId="0" applyFill="1" applyBorder="1" applyAlignment="1">
      <alignment wrapText="1"/>
    </xf>
    <xf numFmtId="0" fontId="1" fillId="0" borderId="42" xfId="0" applyFont="1" applyFill="1" applyBorder="1" applyAlignment="1">
      <alignment wrapText="1"/>
    </xf>
    <xf numFmtId="0" fontId="0" fillId="0" borderId="42" xfId="0" applyNumberFormat="1" applyFont="1" applyFill="1" applyBorder="1" applyAlignment="1" applyProtection="1">
      <alignment horizontal="left" vertical="top" wrapText="1"/>
    </xf>
    <xf numFmtId="0" fontId="4" fillId="0" borderId="42" xfId="0" applyFont="1" applyFill="1" applyBorder="1" applyAlignment="1">
      <alignment horizontal="left" vertical="top" wrapText="1"/>
    </xf>
    <xf numFmtId="0" fontId="1" fillId="0" borderId="60" xfId="0" applyFont="1" applyFill="1" applyBorder="1" applyAlignment="1">
      <alignment wrapText="1"/>
    </xf>
    <xf numFmtId="9" fontId="4" fillId="15" borderId="33" xfId="0" applyNumberFormat="1" applyFont="1" applyFill="1" applyBorder="1" applyAlignment="1">
      <alignment horizontal="left" vertical="top" wrapText="1"/>
    </xf>
    <xf numFmtId="9" fontId="4" fillId="15" borderId="34" xfId="0" applyNumberFormat="1" applyFont="1" applyFill="1" applyBorder="1" applyAlignment="1">
      <alignment horizontal="left" vertical="top" wrapText="1"/>
    </xf>
    <xf numFmtId="0" fontId="1" fillId="0" borderId="23" xfId="0" applyFont="1" applyFill="1" applyBorder="1" applyAlignment="1">
      <alignment vertical="top" wrapText="1"/>
    </xf>
    <xf numFmtId="0" fontId="4" fillId="12" borderId="33" xfId="0" applyFont="1" applyFill="1" applyBorder="1" applyAlignment="1">
      <alignment horizontal="left" vertical="top" wrapText="1"/>
    </xf>
    <xf numFmtId="0" fontId="1" fillId="16" borderId="23" xfId="0" applyFont="1" applyFill="1" applyBorder="1" applyAlignment="1">
      <alignment wrapText="1"/>
    </xf>
    <xf numFmtId="0" fontId="0" fillId="12" borderId="51" xfId="0" applyFill="1" applyBorder="1" applyAlignment="1">
      <alignment horizontal="left"/>
    </xf>
    <xf numFmtId="0" fontId="4" fillId="12" borderId="51" xfId="0" applyFont="1" applyFill="1" applyBorder="1" applyAlignment="1">
      <alignment horizontal="left" vertical="top" wrapText="1"/>
    </xf>
    <xf numFmtId="2" fontId="4" fillId="12" borderId="34" xfId="0" applyNumberFormat="1" applyFont="1" applyFill="1" applyBorder="1" applyAlignment="1">
      <alignment horizontal="left" vertical="top" wrapText="1"/>
    </xf>
    <xf numFmtId="10" fontId="4" fillId="12" borderId="34" xfId="0" applyNumberFormat="1" applyFont="1" applyFill="1" applyBorder="1" applyAlignment="1">
      <alignment horizontal="left" vertical="top" wrapText="1"/>
    </xf>
    <xf numFmtId="0" fontId="10" fillId="0" borderId="0" xfId="0" applyFont="1"/>
    <xf numFmtId="9" fontId="4" fillId="12" borderId="61" xfId="0" applyNumberFormat="1" applyFont="1" applyFill="1" applyBorder="1" applyAlignment="1">
      <alignment horizontal="left" vertical="top" wrapText="1"/>
    </xf>
    <xf numFmtId="2" fontId="6" fillId="0" borderId="52" xfId="0" applyNumberFormat="1" applyFont="1" applyFill="1" applyBorder="1" applyAlignment="1">
      <alignment wrapText="1"/>
    </xf>
    <xf numFmtId="2" fontId="6" fillId="0" borderId="45" xfId="0" applyNumberFormat="1" applyFont="1" applyFill="1" applyBorder="1" applyAlignment="1">
      <alignment wrapText="1"/>
    </xf>
    <xf numFmtId="2" fontId="6" fillId="0" borderId="12" xfId="0" applyNumberFormat="1" applyFont="1" applyFill="1" applyBorder="1" applyAlignment="1">
      <alignment wrapText="1"/>
    </xf>
    <xf numFmtId="2" fontId="6" fillId="0" borderId="37" xfId="0" applyNumberFormat="1" applyFont="1" applyFill="1" applyBorder="1" applyAlignment="1">
      <alignment wrapText="1"/>
    </xf>
    <xf numFmtId="2" fontId="6" fillId="0" borderId="30" xfId="0" applyNumberFormat="1" applyFont="1" applyFill="1" applyBorder="1" applyAlignment="1">
      <alignment wrapText="1"/>
    </xf>
    <xf numFmtId="2" fontId="6" fillId="0" borderId="33" xfId="0" applyNumberFormat="1" applyFont="1" applyFill="1" applyBorder="1" applyAlignment="1">
      <alignment wrapText="1"/>
    </xf>
    <xf numFmtId="2" fontId="6" fillId="0" borderId="23" xfId="0" applyNumberFormat="1" applyFont="1" applyFill="1" applyBorder="1" applyAlignment="1">
      <alignment wrapText="1"/>
    </xf>
    <xf numFmtId="2" fontId="6" fillId="0" borderId="42" xfId="0" applyNumberFormat="1" applyFont="1" applyFill="1" applyBorder="1" applyAlignment="1">
      <alignment wrapText="1"/>
    </xf>
    <xf numFmtId="2" fontId="6" fillId="0" borderId="53" xfId="0" applyNumberFormat="1" applyFont="1" applyFill="1" applyBorder="1" applyAlignment="1">
      <alignment wrapText="1"/>
    </xf>
    <xf numFmtId="166" fontId="1" fillId="13"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9" fontId="0" fillId="12" borderId="34" xfId="0" applyNumberFormat="1" applyFont="1" applyFill="1" applyBorder="1" applyAlignment="1">
      <alignment horizontal="left" vertical="top" wrapText="1"/>
    </xf>
    <xf numFmtId="0" fontId="2" fillId="3" borderId="16" xfId="0" applyFont="1" applyFill="1" applyBorder="1" applyAlignment="1">
      <alignment wrapText="1"/>
    </xf>
    <xf numFmtId="0" fontId="1" fillId="0" borderId="33" xfId="0" applyFont="1" applyFill="1" applyBorder="1" applyAlignment="1">
      <alignment horizontal="left" vertical="top" wrapText="1"/>
    </xf>
    <xf numFmtId="0" fontId="0" fillId="0" borderId="33" xfId="0" applyBorder="1" applyAlignment="1">
      <alignment vertical="top"/>
    </xf>
    <xf numFmtId="166" fontId="1" fillId="12" borderId="33" xfId="0" applyNumberFormat="1" applyFont="1" applyFill="1" applyBorder="1" applyAlignment="1">
      <alignment horizontal="lef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0" fillId="2" borderId="23" xfId="0" applyFill="1" applyBorder="1" applyAlignment="1">
      <alignment horizontal="justify" wrapText="1"/>
    </xf>
    <xf numFmtId="0" fontId="0" fillId="2" borderId="34" xfId="0" applyFill="1" applyBorder="1" applyAlignment="1">
      <alignment horizontal="justify" wrapText="1"/>
    </xf>
    <xf numFmtId="0" fontId="1" fillId="2" borderId="62" xfId="0" applyFont="1" applyFill="1" applyBorder="1" applyAlignment="1">
      <alignment horizontal="justify" wrapText="1"/>
    </xf>
    <xf numFmtId="0" fontId="0" fillId="0" borderId="33" xfId="0" applyFont="1" applyFill="1" applyBorder="1" applyAlignment="1">
      <alignment vertical="top"/>
    </xf>
    <xf numFmtId="0" fontId="0" fillId="0" borderId="33" xfId="0" applyBorder="1" applyAlignment="1">
      <alignment wrapText="1"/>
    </xf>
    <xf numFmtId="0" fontId="0" fillId="2" borderId="23" xfId="0" applyFont="1" applyFill="1" applyBorder="1" applyAlignment="1">
      <alignment wrapText="1"/>
    </xf>
    <xf numFmtId="0" fontId="1" fillId="2" borderId="23" xfId="0" applyFont="1" applyFill="1" applyBorder="1" applyAlignment="1">
      <alignment wrapText="1"/>
    </xf>
    <xf numFmtId="17" fontId="1" fillId="2" borderId="33" xfId="0" applyNumberFormat="1" applyFont="1" applyFill="1" applyBorder="1"/>
    <xf numFmtId="0" fontId="2" fillId="2" borderId="22" xfId="0" applyFont="1" applyFill="1" applyBorder="1" applyAlignment="1">
      <alignment horizontal="right"/>
    </xf>
    <xf numFmtId="164" fontId="2" fillId="0" borderId="0" xfId="0" applyNumberFormat="1" applyFont="1" applyFill="1" applyBorder="1" applyAlignment="1">
      <alignment wrapText="1"/>
    </xf>
    <xf numFmtId="0" fontId="0" fillId="2" borderId="63" xfId="0" applyFill="1" applyBorder="1" applyAlignment="1">
      <alignment horizontal="justify" wrapText="1"/>
    </xf>
    <xf numFmtId="0" fontId="0" fillId="2" borderId="64" xfId="0" applyFill="1" applyBorder="1" applyAlignment="1">
      <alignment horizontal="justify" wrapText="1"/>
    </xf>
    <xf numFmtId="0" fontId="0" fillId="2" borderId="65" xfId="0" applyFill="1" applyBorder="1" applyAlignment="1">
      <alignment horizontal="justify" wrapText="1"/>
    </xf>
    <xf numFmtId="0" fontId="0" fillId="0" borderId="66" xfId="0" applyBorder="1"/>
    <xf numFmtId="0" fontId="0" fillId="0" borderId="66" xfId="0" applyFont="1" applyFill="1" applyBorder="1" applyAlignment="1">
      <alignment vertical="top"/>
    </xf>
    <xf numFmtId="0" fontId="0" fillId="0" borderId="66" xfId="0" applyBorder="1" applyAlignment="1">
      <alignment wrapText="1"/>
    </xf>
    <xf numFmtId="0" fontId="1" fillId="0" borderId="67" xfId="0" applyFont="1" applyFill="1" applyBorder="1" applyAlignment="1">
      <alignment wrapText="1"/>
    </xf>
    <xf numFmtId="0" fontId="0" fillId="2" borderId="68" xfId="0" applyFill="1" applyBorder="1" applyAlignment="1">
      <alignment horizontal="justify" wrapText="1"/>
    </xf>
    <xf numFmtId="0" fontId="0" fillId="0" borderId="69" xfId="0" applyFill="1" applyBorder="1"/>
    <xf numFmtId="0" fontId="4" fillId="0" borderId="69" xfId="0" applyFont="1" applyFill="1" applyBorder="1" applyAlignment="1">
      <alignment wrapText="1"/>
    </xf>
    <xf numFmtId="0" fontId="2" fillId="3" borderId="4" xfId="0" applyFont="1" applyFill="1" applyBorder="1"/>
    <xf numFmtId="9" fontId="4" fillId="0" borderId="76" xfId="0" applyNumberFormat="1" applyFont="1" applyFill="1" applyBorder="1" applyAlignment="1">
      <alignment horizontal="left" vertical="top" wrapText="1"/>
    </xf>
    <xf numFmtId="9" fontId="4" fillId="12" borderId="0" xfId="0" applyNumberFormat="1" applyFont="1" applyFill="1" applyBorder="1" applyAlignment="1">
      <alignment horizontal="left" vertical="top" wrapText="1"/>
    </xf>
    <xf numFmtId="1" fontId="4" fillId="12" borderId="34" xfId="0" applyNumberFormat="1" applyFont="1" applyFill="1" applyBorder="1" applyAlignment="1">
      <alignment horizontal="left" vertical="top" wrapText="1"/>
    </xf>
    <xf numFmtId="0" fontId="2" fillId="13" borderId="22" xfId="0" applyFont="1" applyFill="1" applyBorder="1" applyAlignment="1">
      <alignment horizontal="right"/>
    </xf>
    <xf numFmtId="0" fontId="1" fillId="13" borderId="23" xfId="0" applyFont="1" applyFill="1" applyBorder="1" applyAlignment="1">
      <alignment wrapText="1"/>
    </xf>
    <xf numFmtId="17" fontId="1" fillId="13" borderId="33" xfId="0" applyNumberFormat="1" applyFont="1" applyFill="1" applyBorder="1"/>
    <xf numFmtId="0" fontId="1" fillId="13" borderId="23" xfId="0" applyFont="1" applyFill="1" applyBorder="1" applyAlignment="1">
      <alignment vertical="top" wrapText="1"/>
    </xf>
    <xf numFmtId="0" fontId="1" fillId="0" borderId="42" xfId="0" applyFont="1" applyBorder="1" applyAlignment="1">
      <alignment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0" fillId="0" borderId="43" xfId="0" applyBorder="1" applyAlignment="1">
      <alignment horizontal="left" vertical="center" wrapText="1"/>
    </xf>
    <xf numFmtId="9" fontId="4" fillId="0" borderId="61" xfId="0" applyNumberFormat="1" applyFont="1" applyFill="1" applyBorder="1" applyAlignment="1">
      <alignment horizontal="left" vertical="top" wrapText="1"/>
    </xf>
    <xf numFmtId="2" fontId="1" fillId="12" borderId="34" xfId="0" applyNumberFormat="1" applyFont="1" applyFill="1" applyBorder="1" applyAlignment="1">
      <alignment horizontal="left" vertical="top" wrapText="1"/>
    </xf>
    <xf numFmtId="166" fontId="1" fillId="12" borderId="34" xfId="0" applyNumberFormat="1" applyFont="1" applyFill="1" applyBorder="1" applyAlignment="1">
      <alignment horizontal="left" vertical="top" wrapText="1"/>
    </xf>
    <xf numFmtId="9" fontId="4" fillId="17" borderId="34" xfId="0" applyNumberFormat="1" applyFont="1" applyFill="1" applyBorder="1" applyAlignment="1">
      <alignment horizontal="left" vertical="top" wrapText="1"/>
    </xf>
    <xf numFmtId="0" fontId="0" fillId="12" borderId="33" xfId="0" applyFill="1" applyBorder="1" applyAlignment="1">
      <alignment wrapText="1"/>
    </xf>
    <xf numFmtId="0" fontId="2" fillId="12" borderId="22" xfId="0" applyFont="1" applyFill="1" applyBorder="1" applyAlignment="1">
      <alignment horizontal="right"/>
    </xf>
    <xf numFmtId="0" fontId="1" fillId="12" borderId="23" xfId="0" applyFont="1" applyFill="1" applyBorder="1" applyAlignment="1">
      <alignment wrapText="1"/>
    </xf>
    <xf numFmtId="17" fontId="1" fillId="12" borderId="33" xfId="0" applyNumberFormat="1" applyFont="1" applyFill="1" applyBorder="1"/>
    <xf numFmtId="17" fontId="1" fillId="12" borderId="23" xfId="0" applyNumberFormat="1" applyFont="1" applyFill="1" applyBorder="1" applyAlignment="1">
      <alignment vertical="top" wrapText="1"/>
    </xf>
    <xf numFmtId="0" fontId="1" fillId="12" borderId="23" xfId="0" applyFont="1" applyFill="1" applyBorder="1" applyAlignment="1">
      <alignmen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0" fillId="12" borderId="34" xfId="0" applyFill="1" applyBorder="1" applyAlignment="1">
      <alignment wrapText="1"/>
    </xf>
    <xf numFmtId="0" fontId="2" fillId="2" borderId="31" xfId="0" applyFont="1" applyFill="1" applyBorder="1" applyAlignment="1">
      <alignment wrapText="1"/>
    </xf>
    <xf numFmtId="164" fontId="2" fillId="2" borderId="31" xfId="0" applyNumberFormat="1" applyFont="1" applyFill="1" applyBorder="1" applyAlignment="1">
      <alignment wrapText="1"/>
    </xf>
    <xf numFmtId="166" fontId="4" fillId="13" borderId="34" xfId="0" applyNumberFormat="1" applyFont="1" applyFill="1" applyBorder="1" applyAlignment="1">
      <alignment horizontal="left" vertical="top" wrapText="1"/>
    </xf>
    <xf numFmtId="9" fontId="4" fillId="18" borderId="34" xfId="0" applyNumberFormat="1" applyFont="1" applyFill="1" applyBorder="1" applyAlignment="1">
      <alignment horizontal="left" vertical="top" wrapText="1"/>
    </xf>
    <xf numFmtId="166" fontId="1" fillId="13" borderId="34" xfId="0" applyNumberFormat="1" applyFont="1" applyFill="1" applyBorder="1" applyAlignment="1">
      <alignment horizontal="left" vertical="top" wrapText="1"/>
    </xf>
    <xf numFmtId="0" fontId="0" fillId="13" borderId="51" xfId="0" applyFill="1" applyBorder="1" applyAlignment="1">
      <alignment horizontal="left"/>
    </xf>
    <xf numFmtId="0" fontId="1" fillId="0" borderId="42" xfId="0" applyFont="1" applyFill="1" applyBorder="1" applyAlignment="1">
      <alignment horizontal="left" vertical="top" wrapText="1"/>
    </xf>
    <xf numFmtId="9" fontId="4" fillId="12" borderId="32" xfId="0" applyNumberFormat="1" applyFont="1" applyFill="1" applyBorder="1" applyAlignment="1">
      <alignment horizontal="left" vertical="top" wrapText="1"/>
    </xf>
    <xf numFmtId="9" fontId="4" fillId="17" borderId="59" xfId="0" applyNumberFormat="1" applyFont="1" applyFill="1" applyBorder="1" applyAlignment="1">
      <alignment horizontal="left" vertical="top" wrapText="1"/>
    </xf>
    <xf numFmtId="0" fontId="0" fillId="2" borderId="68" xfId="0" applyFill="1" applyBorder="1" applyAlignment="1">
      <alignment horizontal="justify" vertical="center" wrapText="1"/>
    </xf>
    <xf numFmtId="0" fontId="0" fillId="2" borderId="23" xfId="0" applyFill="1" applyBorder="1" applyAlignment="1">
      <alignment horizontal="justify" vertical="center" wrapText="1"/>
    </xf>
    <xf numFmtId="0" fontId="1" fillId="2" borderId="62" xfId="0" applyFont="1" applyFill="1" applyBorder="1" applyAlignment="1">
      <alignment horizontal="justify" vertical="center" wrapText="1"/>
    </xf>
    <xf numFmtId="0" fontId="0" fillId="0" borderId="33" xfId="0" applyBorder="1" applyAlignment="1">
      <alignment vertical="center"/>
    </xf>
    <xf numFmtId="0" fontId="0" fillId="0" borderId="33" xfId="0" applyFont="1" applyFill="1" applyBorder="1" applyAlignment="1">
      <alignment vertical="center"/>
    </xf>
    <xf numFmtId="0" fontId="1" fillId="0" borderId="33" xfId="0" applyFont="1" applyBorder="1" applyAlignment="1">
      <alignment vertical="center"/>
    </xf>
    <xf numFmtId="0" fontId="0" fillId="0" borderId="33" xfId="0" applyBorder="1" applyAlignment="1">
      <alignment vertical="center" wrapText="1"/>
    </xf>
    <xf numFmtId="0" fontId="1" fillId="12" borderId="33" xfId="2" applyFill="1" applyBorder="1" applyAlignment="1">
      <alignment vertical="center" wrapText="1"/>
    </xf>
    <xf numFmtId="0" fontId="0" fillId="12" borderId="33" xfId="0" applyFill="1" applyBorder="1" applyAlignment="1">
      <alignment vertical="center" wrapText="1"/>
    </xf>
    <xf numFmtId="0" fontId="1" fillId="0" borderId="70" xfId="0" applyFont="1" applyBorder="1" applyAlignment="1">
      <alignment vertical="center" wrapText="1"/>
    </xf>
    <xf numFmtId="0" fontId="0" fillId="0" borderId="0" xfId="0" applyAlignment="1">
      <alignment vertical="center"/>
    </xf>
    <xf numFmtId="0" fontId="0" fillId="2" borderId="71" xfId="0" applyFill="1" applyBorder="1" applyAlignment="1">
      <alignment horizontal="justify" vertical="center" wrapText="1"/>
    </xf>
    <xf numFmtId="0" fontId="0" fillId="2" borderId="72" xfId="0" applyFill="1" applyBorder="1" applyAlignment="1">
      <alignment horizontal="justify" vertical="center" wrapText="1"/>
    </xf>
    <xf numFmtId="0" fontId="1" fillId="2" borderId="73" xfId="0" applyFont="1" applyFill="1" applyBorder="1" applyAlignment="1">
      <alignment horizontal="justify" vertical="center" wrapText="1"/>
    </xf>
    <xf numFmtId="0" fontId="0" fillId="0" borderId="74" xfId="0" applyBorder="1" applyAlignment="1">
      <alignment vertical="center"/>
    </xf>
    <xf numFmtId="0" fontId="0" fillId="0" borderId="74" xfId="0" applyFont="1" applyFill="1" applyBorder="1" applyAlignment="1">
      <alignment vertical="center"/>
    </xf>
    <xf numFmtId="0" fontId="1" fillId="0" borderId="74" xfId="0" applyFont="1" applyBorder="1" applyAlignment="1">
      <alignment vertical="center"/>
    </xf>
    <xf numFmtId="0" fontId="0" fillId="0" borderId="74" xfId="0" applyBorder="1" applyAlignment="1">
      <alignment vertical="center" wrapText="1"/>
    </xf>
    <xf numFmtId="0" fontId="1" fillId="0" borderId="75" xfId="0" applyFont="1" applyFill="1" applyBorder="1" applyAlignment="1">
      <alignment vertical="center" wrapText="1"/>
    </xf>
    <xf numFmtId="0" fontId="0" fillId="12" borderId="74" xfId="0" applyFill="1" applyBorder="1" applyAlignment="1">
      <alignment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2" fontId="6" fillId="11" borderId="52" xfId="0" applyNumberFormat="1" applyFont="1" applyFill="1" applyBorder="1" applyAlignment="1">
      <alignment wrapText="1"/>
    </xf>
    <xf numFmtId="2" fontId="6" fillId="11" borderId="37" xfId="0" applyNumberFormat="1" applyFont="1" applyFill="1" applyBorder="1" applyAlignment="1">
      <alignment wrapText="1"/>
    </xf>
    <xf numFmtId="1" fontId="0" fillId="12" borderId="34" xfId="0" applyNumberFormat="1" applyFill="1" applyBorder="1" applyAlignment="1">
      <alignment wrapText="1"/>
    </xf>
    <xf numFmtId="10" fontId="0" fillId="12" borderId="34" xfId="0" applyNumberFormat="1" applyFill="1" applyBorder="1" applyAlignment="1">
      <alignment wrapText="1"/>
    </xf>
    <xf numFmtId="166" fontId="1" fillId="17" borderId="34" xfId="0" applyNumberFormat="1" applyFont="1" applyFill="1" applyBorder="1" applyAlignment="1">
      <alignment horizontal="left" vertical="top" wrapText="1"/>
    </xf>
    <xf numFmtId="9" fontId="0" fillId="12" borderId="33" xfId="0" applyNumberFormat="1" applyFill="1" applyBorder="1" applyAlignment="1">
      <alignment vertical="center" wrapText="1"/>
    </xf>
    <xf numFmtId="0" fontId="1" fillId="0" borderId="23" xfId="0" applyFont="1" applyFill="1" applyBorder="1" applyAlignment="1">
      <alignment vertical="center" wrapText="1"/>
    </xf>
    <xf numFmtId="15" fontId="1" fillId="13" borderId="23" xfId="0" applyNumberFormat="1" applyFont="1" applyFill="1" applyBorder="1" applyAlignment="1">
      <alignment vertical="top" wrapText="1"/>
    </xf>
    <xf numFmtId="0" fontId="0" fillId="12" borderId="23" xfId="0" applyFont="1" applyFill="1" applyBorder="1" applyAlignment="1">
      <alignment wrapText="1"/>
    </xf>
    <xf numFmtId="0" fontId="2" fillId="17" borderId="22" xfId="0" applyFont="1" applyFill="1" applyBorder="1" applyAlignment="1">
      <alignment horizontal="right"/>
    </xf>
    <xf numFmtId="0" fontId="1" fillId="17" borderId="23" xfId="0" applyFont="1" applyFill="1" applyBorder="1" applyAlignment="1">
      <alignment wrapText="1"/>
    </xf>
    <xf numFmtId="17" fontId="1" fillId="17" borderId="33" xfId="0" applyNumberFormat="1" applyFont="1" applyFill="1" applyBorder="1"/>
    <xf numFmtId="0" fontId="1" fillId="17" borderId="23" xfId="0" applyFont="1" applyFill="1" applyBorder="1" applyAlignment="1">
      <alignment vertical="top" wrapText="1"/>
    </xf>
    <xf numFmtId="0" fontId="13" fillId="12" borderId="23" xfId="0" applyFont="1" applyFill="1" applyBorder="1" applyAlignment="1">
      <alignment vertical="top" wrapText="1"/>
    </xf>
    <xf numFmtId="2" fontId="0" fillId="12" borderId="34" xfId="0" applyNumberFormat="1" applyFill="1" applyBorder="1" applyAlignment="1">
      <alignment wrapText="1"/>
    </xf>
    <xf numFmtId="2" fontId="0" fillId="12" borderId="33" xfId="0" applyNumberFormat="1" applyFill="1" applyBorder="1" applyAlignment="1">
      <alignment wrapText="1"/>
    </xf>
    <xf numFmtId="0" fontId="7" fillId="0" borderId="2" xfId="0" applyFont="1" applyFill="1" applyBorder="1" applyAlignment="1">
      <alignment horizontal="center"/>
    </xf>
    <xf numFmtId="0" fontId="7" fillId="0" borderId="17" xfId="0" applyFont="1" applyFill="1" applyBorder="1" applyAlignment="1">
      <alignment horizontal="center"/>
    </xf>
    <xf numFmtId="0" fontId="7" fillId="0" borderId="3" xfId="0" applyFont="1" applyFill="1" applyBorder="1" applyAlignment="1">
      <alignment horizontal="center"/>
    </xf>
    <xf numFmtId="14" fontId="0" fillId="0" borderId="54" xfId="0" applyNumberFormat="1" applyBorder="1" applyAlignment="1">
      <alignment horizontal="center" vertical="center" wrapText="1"/>
    </xf>
    <xf numFmtId="0" fontId="0" fillId="0" borderId="52" xfId="0" applyBorder="1" applyAlignment="1">
      <alignment horizontal="center" vertical="center" wrapText="1"/>
    </xf>
    <xf numFmtId="0" fontId="4" fillId="0" borderId="54" xfId="0" applyFont="1" applyBorder="1" applyAlignment="1">
      <alignment horizontal="left" vertical="center" wrapText="1"/>
    </xf>
    <xf numFmtId="0" fontId="4" fillId="0" borderId="55" xfId="0" applyFont="1" applyBorder="1" applyAlignment="1">
      <alignment horizontal="left" vertical="center" wrapText="1"/>
    </xf>
    <xf numFmtId="0" fontId="4" fillId="0" borderId="41" xfId="0" applyFont="1" applyBorder="1" applyAlignment="1">
      <alignment horizontal="left" vertical="center" wrapText="1"/>
    </xf>
    <xf numFmtId="0" fontId="1" fillId="0" borderId="2" xfId="0" applyFont="1"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1" fillId="0" borderId="56" xfId="0" applyFont="1" applyBorder="1" applyAlignment="1">
      <alignment horizontal="left" vertical="center" wrapText="1"/>
    </xf>
    <xf numFmtId="0" fontId="0" fillId="0" borderId="3" xfId="0" applyBorder="1" applyAlignment="1">
      <alignment horizontal="left" vertical="center" wrapText="1"/>
    </xf>
    <xf numFmtId="0" fontId="2" fillId="3" borderId="56" xfId="0" applyFont="1" applyFill="1" applyBorder="1" applyAlignment="1">
      <alignment horizontal="center"/>
    </xf>
    <xf numFmtId="0" fontId="2" fillId="3" borderId="50" xfId="0" applyFont="1" applyFill="1" applyBorder="1" applyAlignment="1">
      <alignment horizontal="center"/>
    </xf>
    <xf numFmtId="0" fontId="1" fillId="0" borderId="14" xfId="0" applyFont="1" applyFill="1" applyBorder="1" applyAlignment="1">
      <alignment horizontal="left" vertical="center" wrapText="1"/>
    </xf>
    <xf numFmtId="0" fontId="0" fillId="0" borderId="46" xfId="0" applyFill="1" applyBorder="1" applyAlignment="1">
      <alignment horizontal="left" vertical="center" wrapText="1"/>
    </xf>
    <xf numFmtId="14" fontId="1" fillId="0" borderId="48" xfId="0" applyNumberFormat="1" applyFont="1" applyFill="1" applyBorder="1" applyAlignment="1">
      <alignment horizontal="center" vertical="center" wrapText="1"/>
    </xf>
    <xf numFmtId="0" fontId="0" fillId="0" borderId="47" xfId="0" applyFill="1" applyBorder="1" applyAlignment="1">
      <alignment horizontal="center" vertical="center" wrapText="1"/>
    </xf>
    <xf numFmtId="0" fontId="1" fillId="0" borderId="5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 fillId="3" borderId="2" xfId="0" applyFont="1" applyFill="1" applyBorder="1" applyAlignment="1">
      <alignment horizontal="center"/>
    </xf>
    <xf numFmtId="0" fontId="2" fillId="3" borderId="17" xfId="0" applyFont="1" applyFill="1" applyBorder="1" applyAlignment="1">
      <alignment horizontal="center"/>
    </xf>
    <xf numFmtId="0" fontId="2" fillId="3" borderId="3" xfId="0" applyFont="1" applyFill="1" applyBorder="1" applyAlignment="1">
      <alignment horizontal="center"/>
    </xf>
    <xf numFmtId="0" fontId="3" fillId="3" borderId="56" xfId="0" applyFont="1" applyFill="1" applyBorder="1" applyAlignment="1">
      <alignment horizontal="center"/>
    </xf>
    <xf numFmtId="0" fontId="3" fillId="3" borderId="17" xfId="0" applyFont="1" applyFill="1" applyBorder="1" applyAlignment="1">
      <alignment horizontal="center"/>
    </xf>
    <xf numFmtId="0" fontId="3" fillId="3" borderId="3" xfId="0" applyFont="1" applyFill="1" applyBorder="1" applyAlignment="1">
      <alignment horizontal="center"/>
    </xf>
    <xf numFmtId="0" fontId="0" fillId="0" borderId="14" xfId="0" applyFont="1" applyBorder="1" applyAlignment="1">
      <alignment horizontal="left" vertical="center" wrapText="1"/>
    </xf>
    <xf numFmtId="0" fontId="0" fillId="0" borderId="46" xfId="0" applyBorder="1" applyAlignment="1">
      <alignment horizontal="left" vertical="center"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56" xfId="0" applyFont="1" applyBorder="1" applyAlignment="1">
      <alignment horizontal="left"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1" fillId="0" borderId="11" xfId="0" applyFont="1" applyBorder="1" applyAlignment="1">
      <alignment horizontal="left" vertical="center" wrapText="1"/>
    </xf>
    <xf numFmtId="0" fontId="0" fillId="0" borderId="45" xfId="0"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41" xfId="0" applyFont="1" applyBorder="1" applyAlignment="1">
      <alignment horizontal="left" vertical="center" wrapText="1"/>
    </xf>
    <xf numFmtId="0" fontId="1" fillId="11" borderId="30" xfId="0" applyFont="1" applyFill="1" applyBorder="1" applyAlignment="1">
      <alignment vertical="center" wrapText="1"/>
    </xf>
    <xf numFmtId="0" fontId="1" fillId="11" borderId="33" xfId="0" applyFont="1" applyFill="1" applyBorder="1" applyAlignment="1">
      <alignment vertical="center" wrapText="1"/>
    </xf>
    <xf numFmtId="0" fontId="1" fillId="11" borderId="23" xfId="0" applyFont="1" applyFill="1" applyBorder="1" applyAlignment="1">
      <alignment vertical="center" wrapText="1"/>
    </xf>
    <xf numFmtId="0" fontId="0" fillId="0" borderId="46" xfId="0" applyBorder="1" applyAlignment="1">
      <alignment horizontal="center" vertical="center" wrapText="1"/>
    </xf>
    <xf numFmtId="0" fontId="0" fillId="0" borderId="24" xfId="0" applyBorder="1" applyAlignment="1">
      <alignment horizontal="center" vertical="center" wrapText="1"/>
    </xf>
    <xf numFmtId="0" fontId="0" fillId="0" borderId="57" xfId="0" applyBorder="1" applyAlignment="1">
      <alignment horizontal="left" vertical="center" wrapText="1"/>
    </xf>
    <xf numFmtId="0" fontId="0" fillId="0" borderId="49" xfId="0" applyBorder="1" applyAlignment="1">
      <alignment horizontal="left" vertical="center" wrapText="1"/>
    </xf>
    <xf numFmtId="0" fontId="0" fillId="0" borderId="47" xfId="0" applyBorder="1" applyAlignment="1">
      <alignment horizontal="left" vertical="center" wrapText="1"/>
    </xf>
    <xf numFmtId="0" fontId="1" fillId="11" borderId="48" xfId="0" applyFont="1" applyFill="1" applyBorder="1" applyAlignment="1">
      <alignment vertical="center" wrapText="1"/>
    </xf>
    <xf numFmtId="0" fontId="1" fillId="11" borderId="49" xfId="0" applyFont="1" applyFill="1" applyBorder="1" applyAlignment="1">
      <alignment vertical="center" wrapText="1"/>
    </xf>
    <xf numFmtId="0" fontId="1" fillId="11" borderId="43" xfId="0" applyFont="1" applyFill="1" applyBorder="1" applyAlignment="1">
      <alignment vertical="center" wrapText="1"/>
    </xf>
    <xf numFmtId="0" fontId="1" fillId="11" borderId="57" xfId="0" applyFont="1" applyFill="1" applyBorder="1" applyAlignment="1">
      <alignment vertical="center" wrapText="1"/>
    </xf>
    <xf numFmtId="0" fontId="1" fillId="11" borderId="47" xfId="0" applyFont="1" applyFill="1" applyBorder="1" applyAlignment="1">
      <alignment vertical="center" wrapText="1"/>
    </xf>
    <xf numFmtId="0" fontId="2" fillId="3" borderId="58" xfId="0" applyFont="1" applyFill="1" applyBorder="1" applyAlignment="1">
      <alignment horizontal="center"/>
    </xf>
    <xf numFmtId="0" fontId="2" fillId="3" borderId="8" xfId="0" applyFont="1" applyFill="1" applyBorder="1" applyAlignment="1">
      <alignment horizontal="center"/>
    </xf>
    <xf numFmtId="0" fontId="1" fillId="11" borderId="52" xfId="0" applyFont="1" applyFill="1" applyBorder="1" applyAlignment="1">
      <alignment vertical="center" wrapText="1"/>
    </xf>
    <xf numFmtId="0" fontId="1" fillId="11" borderId="45" xfId="0" applyFont="1" applyFill="1" applyBorder="1" applyAlignment="1">
      <alignment vertical="center" wrapText="1"/>
    </xf>
    <xf numFmtId="0" fontId="1" fillId="11" borderId="45" xfId="0" applyFont="1" applyFill="1" applyBorder="1" applyAlignment="1">
      <alignment horizontal="left" vertical="center" wrapText="1"/>
    </xf>
    <xf numFmtId="0" fontId="1" fillId="11" borderId="12" xfId="0" applyFont="1" applyFill="1" applyBorder="1" applyAlignment="1">
      <alignment horizontal="left" vertical="center" wrapText="1"/>
    </xf>
    <xf numFmtId="0" fontId="2" fillId="3" borderId="5" xfId="0" applyFont="1" applyFill="1" applyBorder="1" applyAlignment="1">
      <alignment horizontal="center"/>
    </xf>
    <xf numFmtId="0" fontId="1" fillId="11" borderId="33" xfId="0" applyFont="1" applyFill="1" applyBorder="1" applyAlignment="1">
      <alignment horizontal="left" vertical="center" wrapText="1"/>
    </xf>
    <xf numFmtId="0" fontId="1" fillId="11" borderId="23" xfId="0" applyFont="1" applyFill="1" applyBorder="1" applyAlignment="1">
      <alignment horizontal="left" vertical="center" wrapText="1"/>
    </xf>
    <xf numFmtId="14" fontId="1" fillId="0" borderId="54" xfId="0" applyNumberFormat="1" applyFont="1" applyBorder="1" applyAlignment="1">
      <alignment horizontal="center" vertical="center" wrapText="1"/>
    </xf>
    <xf numFmtId="14" fontId="1" fillId="0" borderId="52" xfId="0" applyNumberFormat="1" applyFont="1" applyBorder="1" applyAlignment="1">
      <alignment horizontal="center" vertical="center" wrapText="1"/>
    </xf>
    <xf numFmtId="14" fontId="1" fillId="0" borderId="34" xfId="0" applyNumberFormat="1" applyFont="1" applyBorder="1" applyAlignment="1">
      <alignment horizontal="center" vertical="center" wrapText="1"/>
    </xf>
    <xf numFmtId="0" fontId="0" fillId="0" borderId="30" xfId="0" applyBorder="1" applyAlignment="1">
      <alignment horizontal="center" vertical="center" wrapText="1"/>
    </xf>
    <xf numFmtId="0" fontId="3" fillId="3" borderId="34" xfId="0" applyFont="1" applyFill="1" applyBorder="1" applyAlignment="1">
      <alignment horizontal="center"/>
    </xf>
    <xf numFmtId="0" fontId="2" fillId="3" borderId="30" xfId="0" applyFont="1" applyFill="1" applyBorder="1" applyAlignment="1">
      <alignment horizontal="center"/>
    </xf>
    <xf numFmtId="0" fontId="4" fillId="0" borderId="17" xfId="0" applyFont="1" applyBorder="1" applyAlignment="1">
      <alignment horizontal="left" vertical="center" wrapText="1"/>
    </xf>
    <xf numFmtId="0" fontId="4" fillId="0" borderId="50" xfId="0" applyFont="1" applyBorder="1" applyAlignment="1">
      <alignment horizontal="left" vertical="center" wrapText="1"/>
    </xf>
    <xf numFmtId="14" fontId="1" fillId="0" borderId="56" xfId="0" applyNumberFormat="1" applyFont="1" applyBorder="1" applyAlignment="1">
      <alignment horizontal="center" vertical="center" wrapText="1"/>
    </xf>
    <xf numFmtId="14" fontId="1" fillId="0" borderId="50" xfId="0" applyNumberFormat="1" applyFont="1" applyBorder="1" applyAlignment="1">
      <alignment horizontal="center" vertical="center" wrapText="1"/>
    </xf>
    <xf numFmtId="0" fontId="1" fillId="0" borderId="34" xfId="0" applyFont="1" applyBorder="1" applyAlignment="1">
      <alignment horizontal="center" vertical="center" wrapText="1"/>
    </xf>
    <xf numFmtId="0" fontId="1" fillId="0" borderId="17" xfId="0" applyFont="1" applyBorder="1" applyAlignment="1">
      <alignment horizontal="left" vertical="center" wrapText="1"/>
    </xf>
    <xf numFmtId="0" fontId="1" fillId="0" borderId="3" xfId="0" applyFont="1" applyBorder="1" applyAlignment="1">
      <alignment horizontal="left" vertical="center" wrapText="1"/>
    </xf>
    <xf numFmtId="0" fontId="0" fillId="0" borderId="14" xfId="0" applyBorder="1" applyAlignment="1">
      <alignment horizontal="left" vertical="center" wrapText="1"/>
    </xf>
    <xf numFmtId="0" fontId="0" fillId="0" borderId="34" xfId="0" applyBorder="1" applyAlignment="1">
      <alignment horizontal="left" vertical="center" wrapText="1"/>
    </xf>
    <xf numFmtId="0" fontId="0" fillId="0" borderId="30" xfId="0" applyBorder="1" applyAlignment="1">
      <alignment horizontal="left" vertical="center" wrapText="1"/>
    </xf>
    <xf numFmtId="0" fontId="0" fillId="0" borderId="48" xfId="0" applyBorder="1" applyAlignment="1">
      <alignment horizontal="left" vertical="center" wrapText="1"/>
    </xf>
    <xf numFmtId="0" fontId="0" fillId="0" borderId="43" xfId="0" applyBorder="1" applyAlignment="1">
      <alignment horizontal="left" vertical="center" wrapText="1"/>
    </xf>
    <xf numFmtId="0" fontId="1" fillId="0" borderId="14" xfId="0" applyFont="1" applyBorder="1" applyAlignment="1">
      <alignment horizontal="left" vertical="center" wrapText="1"/>
    </xf>
    <xf numFmtId="14" fontId="0" fillId="0" borderId="48" xfId="0" applyNumberFormat="1" applyFill="1" applyBorder="1" applyAlignment="1">
      <alignment horizontal="center" vertical="center" wrapText="1"/>
    </xf>
    <xf numFmtId="14" fontId="1" fillId="0" borderId="48" xfId="0" applyNumberFormat="1" applyFont="1" applyBorder="1" applyAlignment="1">
      <alignment horizontal="center" vertical="center" wrapText="1"/>
    </xf>
    <xf numFmtId="0" fontId="1" fillId="0" borderId="1" xfId="0" applyFont="1" applyBorder="1" applyAlignment="1">
      <alignment vertical="center"/>
    </xf>
    <xf numFmtId="0" fontId="0" fillId="0" borderId="81" xfId="0" applyBorder="1" applyAlignment="1">
      <alignment vertical="center"/>
    </xf>
    <xf numFmtId="0" fontId="1" fillId="0" borderId="81" xfId="0" applyFont="1" applyBorder="1" applyAlignment="1">
      <alignment horizontal="center" vertical="center"/>
    </xf>
    <xf numFmtId="0" fontId="0" fillId="0" borderId="81" xfId="0" applyBorder="1" applyAlignment="1">
      <alignment horizontal="center" vertical="center"/>
    </xf>
    <xf numFmtId="0" fontId="1" fillId="0" borderId="81" xfId="0" applyFont="1" applyBorder="1" applyAlignment="1">
      <alignment horizontal="center" vertical="center" wrapText="1"/>
    </xf>
    <xf numFmtId="0" fontId="0" fillId="0" borderId="81" xfId="0" applyBorder="1" applyAlignment="1">
      <alignment horizontal="center" vertical="center" wrapText="1"/>
    </xf>
    <xf numFmtId="0" fontId="1" fillId="0" borderId="56" xfId="0" applyFont="1"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1" fillId="11" borderId="2" xfId="0" applyFont="1" applyFill="1" applyBorder="1" applyAlignment="1">
      <alignment horizontal="center" vertical="center" wrapText="1"/>
    </xf>
    <xf numFmtId="0" fontId="1" fillId="11" borderId="17" xfId="0" applyFont="1" applyFill="1" applyBorder="1" applyAlignment="1">
      <alignment horizontal="center" vertical="center" wrapText="1"/>
    </xf>
    <xf numFmtId="0" fontId="1" fillId="11" borderId="50" xfId="0" applyFont="1" applyFill="1" applyBorder="1" applyAlignment="1">
      <alignment horizontal="center" vertical="center" wrapText="1"/>
    </xf>
    <xf numFmtId="0" fontId="1" fillId="11" borderId="56"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81"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77" xfId="0" applyFont="1" applyBorder="1" applyAlignment="1">
      <alignment horizontal="left" vertical="center" wrapText="1"/>
    </xf>
    <xf numFmtId="0" fontId="0" fillId="0" borderId="78" xfId="0" applyBorder="1" applyAlignment="1">
      <alignment horizontal="left" vertical="center" wrapText="1"/>
    </xf>
    <xf numFmtId="14" fontId="0" fillId="0" borderId="79" xfId="0" applyNumberFormat="1" applyBorder="1" applyAlignment="1">
      <alignment horizontal="center" vertical="center" wrapText="1"/>
    </xf>
    <xf numFmtId="0" fontId="0" fillId="0" borderId="80" xfId="0" applyBorder="1" applyAlignment="1">
      <alignment horizontal="center" vertical="center" wrapText="1"/>
    </xf>
    <xf numFmtId="0" fontId="1" fillId="0" borderId="79" xfId="0" applyFont="1" applyBorder="1" applyAlignment="1">
      <alignment horizontal="left" vertical="center"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0" fontId="1" fillId="0" borderId="1" xfId="0" applyFont="1" applyBorder="1" applyAlignment="1">
      <alignment horizontal="left" vertical="center"/>
    </xf>
    <xf numFmtId="0" fontId="0" fillId="0" borderId="81" xfId="0" applyBorder="1" applyAlignment="1">
      <alignment horizontal="left" vertical="center"/>
    </xf>
    <xf numFmtId="14" fontId="1" fillId="0" borderId="56" xfId="0" applyNumberFormat="1" applyFont="1" applyBorder="1" applyAlignment="1">
      <alignment horizontal="center" vertical="center"/>
    </xf>
    <xf numFmtId="0" fontId="0" fillId="0" borderId="50" xfId="0" applyBorder="1" applyAlignment="1">
      <alignment horizontal="center" vertical="center"/>
    </xf>
    <xf numFmtId="0" fontId="1" fillId="0" borderId="81" xfId="0" applyFont="1" applyBorder="1" applyAlignment="1">
      <alignment horizontal="left" vertical="center"/>
    </xf>
    <xf numFmtId="0" fontId="0" fillId="0" borderId="15" xfId="0" applyBorder="1" applyAlignment="1">
      <alignment horizontal="left" vertical="center"/>
    </xf>
    <xf numFmtId="0" fontId="3" fillId="3" borderId="82" xfId="0" applyFont="1" applyFill="1" applyBorder="1" applyAlignment="1">
      <alignment horizontal="center"/>
    </xf>
    <xf numFmtId="0" fontId="2" fillId="3" borderId="9" xfId="0" applyFont="1" applyFill="1" applyBorder="1" applyAlignment="1">
      <alignment horizontal="center"/>
    </xf>
    <xf numFmtId="0" fontId="3" fillId="3" borderId="62" xfId="0" applyFont="1" applyFill="1" applyBorder="1" applyAlignment="1">
      <alignment horizontal="center"/>
    </xf>
    <xf numFmtId="0" fontId="2" fillId="3" borderId="53" xfId="0" applyFont="1" applyFill="1" applyBorder="1" applyAlignment="1">
      <alignment horizontal="center"/>
    </xf>
    <xf numFmtId="0" fontId="3" fillId="3" borderId="58" xfId="0" applyFont="1" applyFill="1" applyBorder="1" applyAlignment="1">
      <alignment horizontal="center"/>
    </xf>
    <xf numFmtId="0" fontId="3" fillId="3" borderId="8" xfId="0" applyFont="1" applyFill="1" applyBorder="1" applyAlignment="1">
      <alignment horizontal="center"/>
    </xf>
    <xf numFmtId="0" fontId="0" fillId="0" borderId="77" xfId="0"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79" xfId="0" applyBorder="1" applyAlignment="1">
      <alignment horizontal="left" vertical="center" wrapText="1"/>
    </xf>
    <xf numFmtId="0" fontId="0" fillId="0" borderId="44" xfId="0" applyBorder="1" applyAlignment="1">
      <alignment horizontal="left" vertical="center" wrapText="1"/>
    </xf>
    <xf numFmtId="0" fontId="0" fillId="0" borderId="21" xfId="0" applyBorder="1" applyAlignment="1">
      <alignment horizontal="left" vertical="center" wrapText="1"/>
    </xf>
    <xf numFmtId="0" fontId="1" fillId="11" borderId="2" xfId="0" applyFont="1" applyFill="1" applyBorder="1" applyAlignment="1">
      <alignment vertical="center" wrapText="1"/>
    </xf>
    <xf numFmtId="0" fontId="1" fillId="11" borderId="17" xfId="0" applyFont="1" applyFill="1" applyBorder="1" applyAlignment="1">
      <alignment vertical="center" wrapText="1"/>
    </xf>
    <xf numFmtId="0" fontId="1" fillId="11" borderId="50" xfId="0" applyFont="1" applyFill="1" applyBorder="1" applyAlignment="1">
      <alignment vertical="center" wrapText="1"/>
    </xf>
    <xf numFmtId="0" fontId="1" fillId="0" borderId="50" xfId="0" applyFont="1" applyBorder="1" applyAlignment="1">
      <alignment horizontal="left" vertical="center" wrapText="1"/>
    </xf>
    <xf numFmtId="0" fontId="1" fillId="0" borderId="5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 xfId="0" applyFont="1" applyBorder="1" applyAlignment="1">
      <alignment horizontal="center" vertical="center" wrapText="1"/>
    </xf>
    <xf numFmtId="14" fontId="1" fillId="0" borderId="79" xfId="0" applyNumberFormat="1" applyFont="1" applyBorder="1" applyAlignment="1">
      <alignment horizontal="center" vertical="center" wrapText="1"/>
    </xf>
    <xf numFmtId="0" fontId="1" fillId="11" borderId="27" xfId="0" applyFont="1" applyFill="1" applyBorder="1" applyAlignment="1">
      <alignment horizontal="center" vertical="center" wrapText="1"/>
    </xf>
    <xf numFmtId="0" fontId="1" fillId="11" borderId="51" xfId="0" applyFont="1" applyFill="1" applyBorder="1" applyAlignment="1">
      <alignment horizontal="center" vertical="center" wrapText="1"/>
    </xf>
    <xf numFmtId="0" fontId="1" fillId="11" borderId="30" xfId="0" applyFont="1" applyFill="1" applyBorder="1" applyAlignment="1">
      <alignment horizontal="center" vertical="center" wrapText="1"/>
    </xf>
    <xf numFmtId="0" fontId="1" fillId="11" borderId="34" xfId="0" applyFont="1" applyFill="1" applyBorder="1" applyAlignment="1">
      <alignment horizontal="center" vertical="center" wrapText="1"/>
    </xf>
    <xf numFmtId="0" fontId="1" fillId="11" borderId="42" xfId="0" applyFont="1" applyFill="1" applyBorder="1" applyAlignment="1">
      <alignment horizontal="center" vertical="center" wrapText="1"/>
    </xf>
    <xf numFmtId="0" fontId="1" fillId="11" borderId="34" xfId="0" applyFont="1" applyFill="1" applyBorder="1" applyAlignment="1">
      <alignment horizontal="left" vertical="center" wrapText="1"/>
    </xf>
    <xf numFmtId="0" fontId="1" fillId="11" borderId="51" xfId="0" applyFont="1" applyFill="1" applyBorder="1" applyAlignment="1">
      <alignment horizontal="left" vertical="center" wrapText="1"/>
    </xf>
    <xf numFmtId="0" fontId="1" fillId="11" borderId="42" xfId="0" applyFont="1" applyFill="1" applyBorder="1" applyAlignment="1">
      <alignment horizontal="left" vertical="center" wrapText="1"/>
    </xf>
    <xf numFmtId="0" fontId="1" fillId="11" borderId="27" xfId="0" applyFont="1" applyFill="1" applyBorder="1" applyAlignment="1">
      <alignment horizontal="left" vertical="center" wrapText="1"/>
    </xf>
    <xf numFmtId="0" fontId="1" fillId="11" borderId="30" xfId="0" applyFont="1" applyFill="1" applyBorder="1" applyAlignment="1">
      <alignment horizontal="left" vertical="center" wrapText="1"/>
    </xf>
    <xf numFmtId="0" fontId="1" fillId="11" borderId="2" xfId="0" applyFont="1" applyFill="1" applyBorder="1" applyAlignment="1">
      <alignment horizontal="left" vertical="center" wrapText="1"/>
    </xf>
    <xf numFmtId="0" fontId="1" fillId="11" borderId="17" xfId="0" applyFont="1" applyFill="1" applyBorder="1" applyAlignment="1">
      <alignment horizontal="left" vertical="center" wrapText="1"/>
    </xf>
    <xf numFmtId="0" fontId="1" fillId="11" borderId="50" xfId="0" applyFont="1" applyFill="1" applyBorder="1" applyAlignment="1">
      <alignment horizontal="left" vertical="center" wrapText="1"/>
    </xf>
    <xf numFmtId="14" fontId="0" fillId="0" borderId="50" xfId="0" applyNumberFormat="1" applyBorder="1" applyAlignment="1">
      <alignment horizontal="center" vertical="center" wrapText="1"/>
    </xf>
    <xf numFmtId="0" fontId="4" fillId="0" borderId="3" xfId="0" applyFont="1" applyBorder="1" applyAlignment="1">
      <alignment horizontal="left" vertical="center" wrapText="1"/>
    </xf>
    <xf numFmtId="0" fontId="1" fillId="0" borderId="14" xfId="0" applyFont="1" applyBorder="1" applyAlignment="1">
      <alignment horizontal="center" vertical="center"/>
    </xf>
    <xf numFmtId="0" fontId="0" fillId="0" borderId="46" xfId="0" applyBorder="1" applyAlignment="1">
      <alignment horizontal="center" vertical="center"/>
    </xf>
    <xf numFmtId="14" fontId="0" fillId="0" borderId="46" xfId="0" applyNumberFormat="1" applyBorder="1" applyAlignment="1">
      <alignment horizontal="center" vertical="center"/>
    </xf>
    <xf numFmtId="0" fontId="0" fillId="0" borderId="24" xfId="0" applyBorder="1" applyAlignment="1">
      <alignment horizontal="center" vertical="center"/>
    </xf>
    <xf numFmtId="0" fontId="1" fillId="0" borderId="13" xfId="0" applyFont="1" applyBorder="1" applyAlignment="1">
      <alignment horizontal="center" vertical="center"/>
    </xf>
    <xf numFmtId="0" fontId="0" fillId="0" borderId="33" xfId="0" applyBorder="1" applyAlignment="1">
      <alignment horizontal="center" vertical="center"/>
    </xf>
    <xf numFmtId="14"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2" xfId="0" applyBorder="1" applyAlignment="1">
      <alignment horizontal="center" vertical="center" wrapText="1"/>
    </xf>
    <xf numFmtId="15" fontId="0" fillId="0" borderId="34" xfId="0" applyNumberFormat="1" applyBorder="1" applyAlignment="1">
      <alignment horizontal="center"/>
    </xf>
    <xf numFmtId="0" fontId="0" fillId="0" borderId="30" xfId="0" applyBorder="1" applyAlignment="1">
      <alignment horizontal="center"/>
    </xf>
    <xf numFmtId="0" fontId="1" fillId="0" borderId="33" xfId="0" applyFont="1" applyBorder="1" applyAlignment="1">
      <alignment horizontal="center" vertical="center"/>
    </xf>
    <xf numFmtId="0" fontId="0" fillId="0" borderId="23" xfId="0" applyBorder="1" applyAlignment="1">
      <alignment horizontal="center" vertical="center"/>
    </xf>
    <xf numFmtId="0" fontId="1" fillId="0" borderId="2" xfId="0" quotePrefix="1" applyFont="1" applyBorder="1" applyAlignment="1">
      <alignment horizontal="center" vertical="center" wrapText="1"/>
    </xf>
    <xf numFmtId="0" fontId="0" fillId="0" borderId="17" xfId="0" applyBorder="1" applyAlignment="1">
      <alignment horizontal="center" vertical="center" wrapText="1"/>
    </xf>
    <xf numFmtId="0" fontId="0" fillId="0" borderId="50" xfId="0" applyBorder="1" applyAlignment="1">
      <alignment horizontal="center" vertical="center" wrapText="1"/>
    </xf>
    <xf numFmtId="15" fontId="1" fillId="0" borderId="34" xfId="0" applyNumberFormat="1" applyFont="1" applyBorder="1" applyAlignment="1">
      <alignment horizontal="center"/>
    </xf>
  </cellXfs>
  <cellStyles count="142">
    <cellStyle name="Currency 2" xfId="13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40" builtinId="8" hidden="1"/>
    <cellStyle name="Normal" xfId="0" builtinId="0"/>
    <cellStyle name="Normal 2" xfId="2"/>
    <cellStyle name="Normal_Tier-1 Quarterly Repor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T48"/>
  <sheetViews>
    <sheetView tabSelected="1" zoomScale="90" zoomScaleNormal="90" zoomScalePageLayoutView="90" workbookViewId="0">
      <pane xSplit="6" ySplit="8" topLeftCell="G27" activePane="bottomRight" state="frozen"/>
      <selection pane="topRight" activeCell="G1" sqref="G1"/>
      <selection pane="bottomLeft" activeCell="A9" sqref="A9"/>
      <selection pane="bottomRight" activeCell="T27" sqref="T27"/>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bestFit="1" customWidth="1"/>
    <col min="7" max="13" width="14.140625" style="27" customWidth="1"/>
    <col min="14" max="15" width="37.85546875" customWidth="1"/>
    <col min="16" max="20" width="36.85546875" customWidth="1"/>
  </cols>
  <sheetData>
    <row r="1" spans="1:20" ht="13.5" thickBot="1" x14ac:dyDescent="0.25"/>
    <row r="2" spans="1:20" x14ac:dyDescent="0.2">
      <c r="A2" s="2" t="s">
        <v>24</v>
      </c>
      <c r="B2" s="3"/>
      <c r="C2" s="28"/>
      <c r="D2" s="24"/>
      <c r="E2" s="46" t="s">
        <v>31</v>
      </c>
      <c r="G2" s="139"/>
      <c r="H2" s="139"/>
      <c r="I2" s="139"/>
      <c r="J2" s="139"/>
      <c r="K2" s="139"/>
      <c r="L2" s="139"/>
      <c r="M2" s="139"/>
    </row>
    <row r="3" spans="1:20" x14ac:dyDescent="0.2">
      <c r="A3" s="4" t="s">
        <v>28</v>
      </c>
      <c r="B3" s="19" t="s">
        <v>53</v>
      </c>
      <c r="C3" s="28"/>
      <c r="D3" s="23"/>
      <c r="E3" s="47" t="s">
        <v>46</v>
      </c>
      <c r="G3" s="139"/>
      <c r="H3" s="139"/>
      <c r="I3" s="139"/>
      <c r="J3" s="139"/>
      <c r="K3" s="139"/>
      <c r="L3" s="139"/>
      <c r="M3" s="139"/>
    </row>
    <row r="4" spans="1:20" x14ac:dyDescent="0.2">
      <c r="A4" s="4" t="s">
        <v>25</v>
      </c>
      <c r="B4" s="71" t="s">
        <v>424</v>
      </c>
      <c r="C4" s="28"/>
      <c r="D4" s="25"/>
      <c r="E4" s="47" t="s">
        <v>32</v>
      </c>
      <c r="F4" s="31"/>
      <c r="G4" s="139"/>
      <c r="H4" s="139"/>
      <c r="I4" s="139"/>
      <c r="J4" s="139"/>
      <c r="K4" s="139"/>
      <c r="L4" s="139"/>
      <c r="M4" s="139"/>
    </row>
    <row r="5" spans="1:20" ht="26.25" thickBot="1" x14ac:dyDescent="0.25">
      <c r="A5" s="5" t="s">
        <v>29</v>
      </c>
      <c r="B5" s="20" t="s">
        <v>2</v>
      </c>
      <c r="C5" s="28"/>
      <c r="D5" s="26"/>
      <c r="E5" s="47" t="s">
        <v>44</v>
      </c>
      <c r="G5" s="139"/>
      <c r="H5" s="139"/>
      <c r="I5" s="139"/>
      <c r="J5" s="139"/>
      <c r="K5" s="139"/>
      <c r="L5" s="139"/>
      <c r="M5" s="139"/>
    </row>
    <row r="6" spans="1:20" ht="13.5" thickBot="1" x14ac:dyDescent="0.25">
      <c r="A6" s="36"/>
      <c r="B6" s="30"/>
      <c r="D6" s="16"/>
      <c r="E6" s="48" t="s">
        <v>34</v>
      </c>
      <c r="G6" s="139"/>
      <c r="H6" s="139"/>
      <c r="I6" s="139"/>
      <c r="J6" s="139"/>
      <c r="K6" s="139"/>
      <c r="L6" s="139"/>
      <c r="M6" s="139"/>
    </row>
    <row r="7" spans="1:20" ht="13.5" thickBot="1" x14ac:dyDescent="0.25"/>
    <row r="8" spans="1:20" ht="21" customHeight="1" thickBot="1" x14ac:dyDescent="0.25">
      <c r="A8" s="7" t="s">
        <v>63</v>
      </c>
      <c r="B8" s="7" t="s">
        <v>62</v>
      </c>
      <c r="C8" s="7" t="s">
        <v>27</v>
      </c>
      <c r="D8" s="8" t="s">
        <v>47</v>
      </c>
      <c r="E8" s="7" t="s">
        <v>26</v>
      </c>
      <c r="F8" s="7" t="s">
        <v>30</v>
      </c>
      <c r="G8" s="61" t="s">
        <v>145</v>
      </c>
      <c r="H8" s="61" t="s">
        <v>175</v>
      </c>
      <c r="I8" s="217" t="s">
        <v>245</v>
      </c>
      <c r="J8" s="217" t="s">
        <v>305</v>
      </c>
      <c r="K8" s="217" t="s">
        <v>323</v>
      </c>
      <c r="L8" s="217" t="s">
        <v>389</v>
      </c>
      <c r="M8" s="217" t="s">
        <v>424</v>
      </c>
      <c r="N8" s="182" t="s">
        <v>176</v>
      </c>
      <c r="O8" s="182" t="s">
        <v>177</v>
      </c>
      <c r="P8" s="182" t="s">
        <v>272</v>
      </c>
      <c r="Q8" s="182" t="s">
        <v>324</v>
      </c>
      <c r="R8" s="182" t="s">
        <v>325</v>
      </c>
      <c r="S8" s="182" t="s">
        <v>390</v>
      </c>
      <c r="T8" s="182" t="s">
        <v>425</v>
      </c>
    </row>
    <row r="9" spans="1:20" ht="25.5" x14ac:dyDescent="0.2">
      <c r="A9" s="72" t="s">
        <v>214</v>
      </c>
      <c r="B9" s="72" t="s">
        <v>254</v>
      </c>
      <c r="C9" s="82" t="s">
        <v>75</v>
      </c>
      <c r="D9" s="135"/>
      <c r="E9" s="183" t="s">
        <v>178</v>
      </c>
      <c r="F9" s="40">
        <v>1</v>
      </c>
      <c r="G9" s="87">
        <f>(1.17+1.18+1.18)/3</f>
        <v>1.1766666666666665</v>
      </c>
      <c r="H9" s="89">
        <f>(0.96+0.96+1.22)/3</f>
        <v>1.0466666666666666</v>
      </c>
      <c r="I9" s="88">
        <f>(1.54+1.54+1.22)/3</f>
        <v>1.4333333333333333</v>
      </c>
      <c r="J9" s="89">
        <f>(1.42+1.43+1.11)/3</f>
        <v>1.32</v>
      </c>
      <c r="K9" s="89">
        <f>(1.43+1.43+1.42)/3</f>
        <v>1.4266666666666665</v>
      </c>
      <c r="L9" s="89"/>
      <c r="M9" s="89">
        <f>(1.04+1.04+1.13)/3</f>
        <v>1.07</v>
      </c>
      <c r="N9" s="148"/>
      <c r="O9" s="148"/>
      <c r="P9" s="148"/>
      <c r="Q9" s="148"/>
      <c r="R9" s="148"/>
      <c r="S9" s="148"/>
      <c r="T9" s="148"/>
    </row>
    <row r="10" spans="1:20" ht="25.5" x14ac:dyDescent="0.2">
      <c r="A10" s="72" t="s">
        <v>215</v>
      </c>
      <c r="B10" s="72" t="s">
        <v>326</v>
      </c>
      <c r="C10" s="81" t="s">
        <v>101</v>
      </c>
      <c r="D10" s="135"/>
      <c r="E10" s="183" t="s">
        <v>178</v>
      </c>
      <c r="F10" s="40">
        <v>1</v>
      </c>
      <c r="G10" s="87">
        <f>(1.35+1.18+1.28)/3</f>
        <v>1.2700000000000002</v>
      </c>
      <c r="H10" s="89">
        <f>(1.11+1.16+1.18)/3</f>
        <v>1.1500000000000001</v>
      </c>
      <c r="I10" s="88">
        <f>(1.26+1.24+1.23)/3</f>
        <v>1.2433333333333334</v>
      </c>
      <c r="J10" s="89">
        <f>(1.21+1.2+1.44)/3</f>
        <v>1.2833333333333334</v>
      </c>
      <c r="K10" s="89">
        <f>(1.45+1.42+1.46)/3</f>
        <v>1.4433333333333334</v>
      </c>
      <c r="L10" s="89">
        <f>(1.06+1.05+1.09)/3</f>
        <v>1.0666666666666667</v>
      </c>
      <c r="M10" s="89">
        <f>(1.02+1.04+1.1)/3</f>
        <v>1.0533333333333335</v>
      </c>
      <c r="N10" s="148"/>
      <c r="O10" s="148"/>
      <c r="P10" s="148"/>
      <c r="Q10" s="148"/>
      <c r="R10" s="148"/>
      <c r="S10" s="148"/>
      <c r="T10" s="148"/>
    </row>
    <row r="11" spans="1:20" ht="25.5" x14ac:dyDescent="0.2">
      <c r="A11" s="72" t="s">
        <v>216</v>
      </c>
      <c r="B11" s="37"/>
      <c r="C11" s="81" t="s">
        <v>76</v>
      </c>
      <c r="D11" s="135"/>
      <c r="E11" s="183" t="s">
        <v>56</v>
      </c>
      <c r="F11" s="40">
        <v>0.99</v>
      </c>
      <c r="G11" s="164">
        <f>(0.9924 + 0.999 + 0.996)/3</f>
        <v>0.99580000000000002</v>
      </c>
      <c r="H11" s="164">
        <f>(0.9907 + 0.998 + 1)/3</f>
        <v>0.99623333333333342</v>
      </c>
      <c r="I11" s="218"/>
      <c r="J11" s="235"/>
      <c r="K11" s="235"/>
      <c r="L11" s="235"/>
      <c r="M11" s="235"/>
      <c r="N11" s="150"/>
      <c r="O11" s="148"/>
      <c r="P11" s="225" t="s">
        <v>297</v>
      </c>
      <c r="Q11" s="225"/>
      <c r="R11" s="225"/>
      <c r="S11" s="225"/>
      <c r="T11" s="225"/>
    </row>
    <row r="12" spans="1:20" ht="25.5" x14ac:dyDescent="0.2">
      <c r="A12" s="72" t="s">
        <v>217</v>
      </c>
      <c r="B12" s="37"/>
      <c r="C12" s="81" t="s">
        <v>77</v>
      </c>
      <c r="D12" s="135"/>
      <c r="E12" s="183" t="s">
        <v>2</v>
      </c>
      <c r="F12" s="91">
        <v>2</v>
      </c>
      <c r="G12" s="132">
        <v>0</v>
      </c>
      <c r="H12" s="159">
        <v>0</v>
      </c>
      <c r="I12" s="159">
        <v>0</v>
      </c>
      <c r="J12" s="159"/>
      <c r="K12" s="159">
        <v>0</v>
      </c>
      <c r="L12" s="159">
        <v>0</v>
      </c>
      <c r="M12" s="159">
        <v>0</v>
      </c>
      <c r="N12" s="150"/>
      <c r="O12" s="150"/>
      <c r="P12" s="150"/>
      <c r="Q12" s="150"/>
      <c r="R12" s="150"/>
      <c r="S12" s="150"/>
      <c r="T12" s="150"/>
    </row>
    <row r="13" spans="1:20" ht="51" x14ac:dyDescent="0.2">
      <c r="A13" s="72" t="s">
        <v>218</v>
      </c>
      <c r="B13" s="37"/>
      <c r="C13" s="81" t="s">
        <v>78</v>
      </c>
      <c r="D13" s="135"/>
      <c r="E13" s="38"/>
      <c r="F13" s="91">
        <v>0</v>
      </c>
      <c r="G13" s="132">
        <v>0</v>
      </c>
      <c r="H13" s="159">
        <v>0</v>
      </c>
      <c r="I13" s="159">
        <v>0</v>
      </c>
      <c r="J13" s="159">
        <v>0</v>
      </c>
      <c r="K13" s="260">
        <v>1</v>
      </c>
      <c r="L13" s="159">
        <v>0</v>
      </c>
      <c r="M13" s="159">
        <v>0</v>
      </c>
      <c r="N13" s="261"/>
      <c r="O13" s="149"/>
      <c r="P13" s="149"/>
      <c r="Q13" s="149"/>
      <c r="R13" s="149" t="s">
        <v>373</v>
      </c>
      <c r="S13" s="149"/>
      <c r="T13" s="149"/>
    </row>
    <row r="14" spans="1:20" ht="51" x14ac:dyDescent="0.2">
      <c r="A14" s="72" t="s">
        <v>219</v>
      </c>
      <c r="B14" s="43"/>
      <c r="C14" s="81" t="s">
        <v>79</v>
      </c>
      <c r="D14" s="136"/>
      <c r="E14" s="44" t="s">
        <v>54</v>
      </c>
      <c r="F14" s="91">
        <v>0</v>
      </c>
      <c r="G14" s="157">
        <v>0</v>
      </c>
      <c r="H14" s="160">
        <v>0</v>
      </c>
      <c r="I14" s="159">
        <v>0</v>
      </c>
      <c r="J14" s="159">
        <v>0</v>
      </c>
      <c r="K14" s="159">
        <v>0</v>
      </c>
      <c r="L14" s="159">
        <v>0</v>
      </c>
      <c r="M14" s="159">
        <v>0</v>
      </c>
      <c r="N14" s="149"/>
      <c r="O14" s="149"/>
      <c r="P14" s="149"/>
      <c r="Q14" s="149"/>
      <c r="R14" s="149"/>
      <c r="S14" s="149"/>
      <c r="T14" s="149"/>
    </row>
    <row r="15" spans="1:20" ht="48.75" customHeight="1" x14ac:dyDescent="0.2">
      <c r="A15" s="72" t="s">
        <v>220</v>
      </c>
      <c r="B15" s="42"/>
      <c r="C15" s="81" t="s">
        <v>80</v>
      </c>
      <c r="D15" s="68"/>
      <c r="E15" s="183" t="s">
        <v>54</v>
      </c>
      <c r="F15" s="40">
        <v>0.93</v>
      </c>
      <c r="G15" s="89">
        <v>0.94</v>
      </c>
      <c r="H15" s="142">
        <v>0.97</v>
      </c>
      <c r="I15" s="262">
        <v>1</v>
      </c>
      <c r="J15" s="263">
        <v>0.9</v>
      </c>
      <c r="K15" s="263">
        <v>0.9</v>
      </c>
      <c r="L15" s="263"/>
      <c r="M15" s="263"/>
      <c r="N15" s="153"/>
      <c r="O15" s="150"/>
      <c r="P15" s="150"/>
      <c r="Q15" s="150"/>
      <c r="R15" s="150"/>
      <c r="S15" s="150"/>
      <c r="T15" s="150"/>
    </row>
    <row r="16" spans="1:20" x14ac:dyDescent="0.2">
      <c r="A16" s="73"/>
      <c r="B16" s="74"/>
      <c r="C16" s="34"/>
      <c r="D16" s="75"/>
      <c r="E16" s="39"/>
      <c r="F16" s="40"/>
      <c r="G16" s="45"/>
      <c r="H16" s="45"/>
      <c r="I16" s="45"/>
      <c r="J16" s="45"/>
      <c r="K16" s="45"/>
      <c r="L16" s="45"/>
      <c r="M16" s="45"/>
      <c r="N16" s="35"/>
      <c r="O16" s="149"/>
      <c r="P16" s="149"/>
      <c r="Q16" s="149"/>
      <c r="R16" s="149"/>
      <c r="S16" s="149"/>
      <c r="T16" s="149"/>
    </row>
    <row r="17" spans="1:20" ht="25.5" x14ac:dyDescent="0.2">
      <c r="A17" s="72" t="s">
        <v>248</v>
      </c>
      <c r="B17" s="255" t="s">
        <v>255</v>
      </c>
      <c r="C17" s="83" t="s">
        <v>81</v>
      </c>
      <c r="D17" s="137"/>
      <c r="E17" s="184" t="s">
        <v>178</v>
      </c>
      <c r="F17" s="40">
        <v>1</v>
      </c>
      <c r="G17" s="133">
        <f>(1.68+1.68+1.68)/3</f>
        <v>1.68</v>
      </c>
      <c r="H17" s="181">
        <f>(1.25+1.25+1.25)/3</f>
        <v>1.25</v>
      </c>
      <c r="I17" s="181">
        <f>(1.25+1.25+1.25)/3</f>
        <v>1.25</v>
      </c>
      <c r="J17" s="181">
        <f>(1.25+1.25+1.25)/3</f>
        <v>1.25</v>
      </c>
      <c r="K17" s="181">
        <f>(2.02+2.02+2.04)/3</f>
        <v>2.0266666666666668</v>
      </c>
      <c r="L17" s="181"/>
      <c r="M17" s="181">
        <f>(1.4+1.4+1.4)/3</f>
        <v>1.3999999999999997</v>
      </c>
      <c r="N17" s="35"/>
      <c r="O17" s="149"/>
      <c r="P17" s="149"/>
      <c r="Q17" s="149"/>
      <c r="R17" s="149"/>
      <c r="S17" s="149"/>
      <c r="T17" s="149"/>
    </row>
    <row r="18" spans="1:20" ht="25.5" x14ac:dyDescent="0.2">
      <c r="A18" s="72" t="s">
        <v>249</v>
      </c>
      <c r="B18" s="255" t="s">
        <v>256</v>
      </c>
      <c r="C18" s="84" t="s">
        <v>82</v>
      </c>
      <c r="D18" s="138"/>
      <c r="E18" s="184" t="s">
        <v>178</v>
      </c>
      <c r="F18" s="40">
        <v>1</v>
      </c>
      <c r="G18" s="88">
        <f t="shared" ref="G18:G19" si="0">(1+1+1)/3</f>
        <v>1</v>
      </c>
      <c r="H18" s="88">
        <f t="shared" ref="H18:M18" si="1">(1+1+1)/3</f>
        <v>1</v>
      </c>
      <c r="I18" s="69">
        <f t="shared" si="1"/>
        <v>1</v>
      </c>
      <c r="J18" s="69">
        <f t="shared" si="1"/>
        <v>1</v>
      </c>
      <c r="K18" s="69">
        <f t="shared" si="1"/>
        <v>1</v>
      </c>
      <c r="L18" s="69">
        <f t="shared" si="1"/>
        <v>1</v>
      </c>
      <c r="M18" s="69">
        <f t="shared" si="1"/>
        <v>1</v>
      </c>
      <c r="N18" s="95"/>
      <c r="O18" s="151"/>
      <c r="P18" s="151"/>
      <c r="Q18" s="151"/>
      <c r="R18" s="151"/>
      <c r="S18" s="151"/>
      <c r="T18" s="151"/>
    </row>
    <row r="19" spans="1:20" ht="25.5" x14ac:dyDescent="0.2">
      <c r="A19" s="72" t="s">
        <v>250</v>
      </c>
      <c r="B19" s="255" t="s">
        <v>327</v>
      </c>
      <c r="C19" s="84" t="s">
        <v>100</v>
      </c>
      <c r="D19" s="138"/>
      <c r="E19" s="184" t="s">
        <v>178</v>
      </c>
      <c r="F19" s="40">
        <v>1</v>
      </c>
      <c r="G19" s="88">
        <f t="shared" si="0"/>
        <v>1</v>
      </c>
      <c r="H19" s="88">
        <f>(1+1+1)/3</f>
        <v>1</v>
      </c>
      <c r="I19" s="69">
        <f>(1+1+1)/3</f>
        <v>1</v>
      </c>
      <c r="J19" s="69">
        <f>(1.15+1.15+1)/3</f>
        <v>1.0999999999999999</v>
      </c>
      <c r="K19" s="69">
        <f>(1+1.12+1)/3</f>
        <v>1.04</v>
      </c>
      <c r="L19" s="69">
        <f>(1+1+1)/3</f>
        <v>1</v>
      </c>
      <c r="M19" s="69">
        <f>(1+1+1)/3</f>
        <v>1</v>
      </c>
      <c r="N19" s="95"/>
      <c r="O19" s="150"/>
      <c r="P19" s="150"/>
      <c r="Q19" s="150"/>
      <c r="R19" s="150"/>
      <c r="S19" s="150"/>
      <c r="T19" s="150"/>
    </row>
    <row r="20" spans="1:20" ht="25.5" x14ac:dyDescent="0.2">
      <c r="A20" s="72" t="s">
        <v>251</v>
      </c>
      <c r="B20" s="255" t="s">
        <v>328</v>
      </c>
      <c r="C20" s="84" t="s">
        <v>102</v>
      </c>
      <c r="D20" s="138"/>
      <c r="E20" s="184" t="s">
        <v>178</v>
      </c>
      <c r="F20" s="40">
        <v>1</v>
      </c>
      <c r="G20" s="87">
        <f>(1.13+1.68+1.15)/3</f>
        <v>1.3199999999999998</v>
      </c>
      <c r="H20" s="87">
        <f>(1.01+0.99+0.96)/3</f>
        <v>0.98666666666666669</v>
      </c>
      <c r="I20" s="89">
        <f>(1.01+1.01+1.01)/3</f>
        <v>1.01</v>
      </c>
      <c r="J20" s="89">
        <f>(0.99+1.14+1.11)/3</f>
        <v>1.08</v>
      </c>
      <c r="K20" s="88">
        <f>(1.09+1.09+1.23)/3</f>
        <v>1.1366666666666667</v>
      </c>
      <c r="L20" s="89"/>
      <c r="M20" s="89">
        <f>(1.15+1.15+1.15)/3</f>
        <v>1.1499999999999999</v>
      </c>
      <c r="N20" s="35"/>
      <c r="O20" s="150"/>
      <c r="P20" s="150"/>
      <c r="Q20" s="150"/>
      <c r="R20" s="150"/>
      <c r="S20" s="150"/>
      <c r="T20" s="150"/>
    </row>
    <row r="21" spans="1:20" ht="38.25" x14ac:dyDescent="0.2">
      <c r="A21" s="72" t="s">
        <v>252</v>
      </c>
      <c r="B21" s="255" t="s">
        <v>343</v>
      </c>
      <c r="C21" s="84" t="s">
        <v>83</v>
      </c>
      <c r="D21" s="138"/>
      <c r="E21" s="183" t="s">
        <v>182</v>
      </c>
      <c r="F21" s="41">
        <v>2</v>
      </c>
      <c r="G21" s="161">
        <f>(2+0+0)/3</f>
        <v>0.66666666666666663</v>
      </c>
      <c r="H21" s="161">
        <f>(0+0+0)/3</f>
        <v>0</v>
      </c>
      <c r="I21" s="161">
        <f>(0+0+0)/3</f>
        <v>0</v>
      </c>
      <c r="J21" s="161">
        <f>(0+0+1)/3</f>
        <v>0.33333333333333331</v>
      </c>
      <c r="K21" s="161">
        <f>(0+0+0)/3</f>
        <v>0</v>
      </c>
      <c r="L21" s="161">
        <f>(0+0+0)/3</f>
        <v>0</v>
      </c>
      <c r="M21" s="161">
        <f>(0+0+1)/3</f>
        <v>0.33333333333333331</v>
      </c>
      <c r="N21" s="35"/>
      <c r="O21" s="152"/>
      <c r="P21" s="152"/>
      <c r="Q21" s="152"/>
      <c r="R21" s="152"/>
      <c r="S21" s="152"/>
      <c r="T21" s="152"/>
    </row>
    <row r="22" spans="1:20" ht="39.950000000000003" customHeight="1" x14ac:dyDescent="0.2">
      <c r="A22" s="72" t="s">
        <v>253</v>
      </c>
      <c r="B22" s="255" t="s">
        <v>344</v>
      </c>
      <c r="C22" s="84" t="s">
        <v>84</v>
      </c>
      <c r="D22" s="138"/>
      <c r="E22" s="183" t="s">
        <v>182</v>
      </c>
      <c r="F22" s="40">
        <v>0.01</v>
      </c>
      <c r="G22" s="162">
        <f>(0.004+0.0007+0.0022)/3</f>
        <v>2.3E-3</v>
      </c>
      <c r="H22" s="162">
        <f>(0.0081+0.001+0.0007)/3</f>
        <v>3.2666666666666664E-3</v>
      </c>
      <c r="I22" s="162">
        <f>(0+0.0018+0.0038)/3</f>
        <v>1.8666666666666666E-3</v>
      </c>
      <c r="J22" s="162">
        <f>(0.004+0.0003+0.0047)/3</f>
        <v>3.0000000000000005E-3</v>
      </c>
      <c r="K22" s="162">
        <f>(0.0032+0.0032+0.0023)/3</f>
        <v>2.8999999999999998E-3</v>
      </c>
      <c r="L22" s="162">
        <f>(0.0035+0.0032+0.0023)/3</f>
        <v>3.0000000000000005E-3</v>
      </c>
      <c r="M22" s="162">
        <f>(0.0003+0.0015+0.0028)/3</f>
        <v>1.5333333333333334E-3</v>
      </c>
      <c r="N22" s="134"/>
      <c r="O22" s="149"/>
      <c r="P22" s="149"/>
      <c r="Q22" s="149"/>
      <c r="R22" s="149"/>
      <c r="S22" s="149"/>
      <c r="T22" s="149"/>
    </row>
    <row r="23" spans="1:20" ht="25.5" x14ac:dyDescent="0.2">
      <c r="A23" s="72" t="s">
        <v>254</v>
      </c>
      <c r="B23" s="255" t="s">
        <v>329</v>
      </c>
      <c r="C23" s="84" t="s">
        <v>103</v>
      </c>
      <c r="D23" s="138"/>
      <c r="E23" s="183" t="s">
        <v>55</v>
      </c>
      <c r="F23" s="91">
        <v>1</v>
      </c>
      <c r="G23" s="130">
        <f>(0+1+0)/3</f>
        <v>0.33333333333333331</v>
      </c>
      <c r="H23" s="130">
        <f>(0+0+0)/3</f>
        <v>0</v>
      </c>
      <c r="I23" s="130">
        <f>(0+0+0)/3</f>
        <v>0</v>
      </c>
      <c r="J23" s="236">
        <f>(0+0+0)/3</f>
        <v>0</v>
      </c>
      <c r="K23" s="236">
        <f>(0+0+0)/3</f>
        <v>0</v>
      </c>
      <c r="L23" s="236">
        <f>(0+0+0)/3</f>
        <v>0</v>
      </c>
      <c r="M23" s="236">
        <f>(0+1+0)/3</f>
        <v>0.33333333333333331</v>
      </c>
      <c r="N23" s="35"/>
      <c r="O23" s="153"/>
      <c r="P23" s="153"/>
      <c r="Q23" s="153"/>
      <c r="R23" s="153"/>
      <c r="S23" s="153"/>
      <c r="T23" s="153"/>
    </row>
    <row r="24" spans="1:20" s="30" customFormat="1" ht="127.5" x14ac:dyDescent="0.2">
      <c r="A24" s="72" t="s">
        <v>255</v>
      </c>
      <c r="B24" s="256" t="s">
        <v>331</v>
      </c>
      <c r="C24" s="84" t="s">
        <v>85</v>
      </c>
      <c r="D24" s="138" t="s">
        <v>113</v>
      </c>
      <c r="E24" s="183" t="s">
        <v>180</v>
      </c>
      <c r="F24" s="40">
        <v>0.99</v>
      </c>
      <c r="G24" s="174">
        <f>(0.92+0.99+0.98)/3</f>
        <v>0.96333333333333337</v>
      </c>
      <c r="H24" s="185">
        <f>(1+1+0.99)/3</f>
        <v>0.9966666666666667</v>
      </c>
      <c r="I24" s="185">
        <f>(1+1+1)/3</f>
        <v>1</v>
      </c>
      <c r="J24" s="237">
        <f>(1+1+1)/3</f>
        <v>1</v>
      </c>
      <c r="K24" s="259">
        <f>(0.98+0.84+0.95)/3</f>
        <v>0.92333333333333323</v>
      </c>
      <c r="L24" s="259">
        <f>(0.89+0.9+0.98)/3</f>
        <v>0.92333333333333334</v>
      </c>
      <c r="M24" s="294">
        <f>(0.95+0.99+1)/3</f>
        <v>0.98</v>
      </c>
      <c r="N24" s="95" t="s">
        <v>172</v>
      </c>
      <c r="O24" s="35"/>
      <c r="P24" s="35"/>
      <c r="Q24" s="35"/>
      <c r="R24" s="95" t="s">
        <v>381</v>
      </c>
      <c r="S24" s="156" t="s">
        <v>395</v>
      </c>
      <c r="T24" s="156" t="s">
        <v>441</v>
      </c>
    </row>
    <row r="25" spans="1:20" ht="38.25" x14ac:dyDescent="0.2">
      <c r="A25" s="72" t="s">
        <v>256</v>
      </c>
      <c r="B25" s="256" t="s">
        <v>330</v>
      </c>
      <c r="C25" s="84" t="s">
        <v>86</v>
      </c>
      <c r="D25" s="138" t="s">
        <v>113</v>
      </c>
      <c r="E25" s="183" t="s">
        <v>180</v>
      </c>
      <c r="F25" s="40">
        <v>0.99</v>
      </c>
      <c r="G25" s="69">
        <f>(1+1+1)/3</f>
        <v>1</v>
      </c>
      <c r="H25" s="69">
        <f>(1+1+1)/3</f>
        <v>1</v>
      </c>
      <c r="I25" s="69">
        <f>(1+1+0.99)/3</f>
        <v>0.9966666666666667</v>
      </c>
      <c r="J25" s="69">
        <f>(1+1+1)/3</f>
        <v>1</v>
      </c>
      <c r="K25" s="131">
        <f>(0.87+1+1)/3</f>
        <v>0.95666666666666667</v>
      </c>
      <c r="L25" s="69">
        <f>(1+1+1)/3</f>
        <v>1</v>
      </c>
      <c r="M25" s="69">
        <f>(1+1+1)/3</f>
        <v>1</v>
      </c>
      <c r="N25" s="134"/>
      <c r="O25" s="35"/>
      <c r="P25" s="35"/>
      <c r="Q25" s="35"/>
      <c r="R25" s="95" t="s">
        <v>374</v>
      </c>
      <c r="S25" s="95"/>
      <c r="T25" s="95"/>
    </row>
    <row r="26" spans="1:20" ht="158.25" customHeight="1" x14ac:dyDescent="0.2">
      <c r="A26" s="72" t="s">
        <v>257</v>
      </c>
      <c r="B26" s="256" t="s">
        <v>332</v>
      </c>
      <c r="C26" s="84" t="s">
        <v>87</v>
      </c>
      <c r="D26" s="138" t="s">
        <v>113</v>
      </c>
      <c r="E26" s="183" t="s">
        <v>180</v>
      </c>
      <c r="F26" s="40">
        <v>0.99</v>
      </c>
      <c r="G26" s="131">
        <f>(0.94+1+0.96)/3</f>
        <v>0.96666666666666667</v>
      </c>
      <c r="H26" s="69">
        <f>(0.98+1+1)/3</f>
        <v>0.99333333333333329</v>
      </c>
      <c r="I26" s="69">
        <f>(1+1+0.98)/3</f>
        <v>0.99333333333333329</v>
      </c>
      <c r="J26" s="131">
        <f>(0.99+0.99+0.92)/3</f>
        <v>0.96666666666666667</v>
      </c>
      <c r="K26" s="131">
        <f>(1+0.97+0.96)/3</f>
        <v>0.97666666666666657</v>
      </c>
      <c r="L26" s="131">
        <f>(0.9+0.84+0.95)/3</f>
        <v>0.89666666666666661</v>
      </c>
      <c r="M26" s="131">
        <f>(0.91+0.95+0.96)/3</f>
        <v>0.94</v>
      </c>
      <c r="N26" s="95" t="s">
        <v>173</v>
      </c>
      <c r="O26" s="95"/>
      <c r="P26" s="95"/>
      <c r="Q26" s="95"/>
      <c r="R26" s="296" t="s">
        <v>377</v>
      </c>
      <c r="S26" s="296" t="s">
        <v>411</v>
      </c>
      <c r="T26" s="296" t="s">
        <v>440</v>
      </c>
    </row>
    <row r="27" spans="1:20" ht="76.5" x14ac:dyDescent="0.2">
      <c r="A27" s="72" t="s">
        <v>258</v>
      </c>
      <c r="B27" s="256" t="s">
        <v>333</v>
      </c>
      <c r="C27" s="84" t="s">
        <v>88</v>
      </c>
      <c r="D27" s="138" t="s">
        <v>113</v>
      </c>
      <c r="E27" s="183" t="s">
        <v>180</v>
      </c>
      <c r="F27" s="40">
        <v>0.99</v>
      </c>
      <c r="G27" s="154">
        <f>(0.97+0.99+0.99)/3</f>
        <v>0.98333333333333339</v>
      </c>
      <c r="H27" s="88">
        <f>(0.98+0.99+1)/3</f>
        <v>0.98999999999999988</v>
      </c>
      <c r="I27" s="88">
        <f>(1+0.99+1)/3</f>
        <v>0.9966666666666667</v>
      </c>
      <c r="J27" s="69">
        <f>(1+0.99+1)/3</f>
        <v>0.9966666666666667</v>
      </c>
      <c r="K27" s="131">
        <f>(0.97+0.98+0.97)/3</f>
        <v>0.97333333333333327</v>
      </c>
      <c r="L27" s="238">
        <f>(0.92+0.99+1)/3</f>
        <v>0.97000000000000008</v>
      </c>
      <c r="M27" s="131">
        <f>(0.99+1+0.88)/3</f>
        <v>0.95666666666666667</v>
      </c>
      <c r="N27" s="95" t="s">
        <v>172</v>
      </c>
      <c r="O27" s="95"/>
      <c r="P27" s="95"/>
      <c r="Q27" s="95"/>
      <c r="R27" s="95" t="s">
        <v>379</v>
      </c>
      <c r="S27" s="95" t="s">
        <v>410</v>
      </c>
      <c r="T27" s="95" t="s">
        <v>451</v>
      </c>
    </row>
    <row r="28" spans="1:20" ht="38.25" x14ac:dyDescent="0.2">
      <c r="A28" s="72" t="s">
        <v>259</v>
      </c>
      <c r="B28" s="256" t="s">
        <v>334</v>
      </c>
      <c r="C28" s="84" t="s">
        <v>89</v>
      </c>
      <c r="D28" s="138"/>
      <c r="E28" s="39" t="s">
        <v>55</v>
      </c>
      <c r="F28" s="40">
        <v>0.99</v>
      </c>
      <c r="G28" s="69">
        <f t="shared" ref="G28" si="2">(1+1+1)/3</f>
        <v>1</v>
      </c>
      <c r="H28" s="131">
        <f>(1+0.84+0.93)/3</f>
        <v>0.92333333333333334</v>
      </c>
      <c r="I28" s="69">
        <f>(1+1+1)/3</f>
        <v>1</v>
      </c>
      <c r="J28" s="69">
        <f>(1+1+1)/3</f>
        <v>1</v>
      </c>
      <c r="K28" s="69">
        <f>(1+1+1)/3</f>
        <v>1</v>
      </c>
      <c r="L28" s="69">
        <f>(1+1+1)/3</f>
        <v>1</v>
      </c>
      <c r="M28" s="69">
        <f>(1+0.9916+1)/3</f>
        <v>0.99719999999999998</v>
      </c>
      <c r="N28" s="95" t="s">
        <v>181</v>
      </c>
      <c r="O28" s="35"/>
      <c r="P28" s="35"/>
      <c r="Q28" s="35"/>
      <c r="R28" s="35"/>
      <c r="S28" s="35"/>
      <c r="T28" s="35"/>
    </row>
    <row r="29" spans="1:20" ht="13.5" thickBot="1" x14ac:dyDescent="0.25">
      <c r="A29" s="76"/>
      <c r="B29" s="77"/>
      <c r="C29" s="78"/>
      <c r="D29" s="79"/>
      <c r="E29" s="44"/>
      <c r="F29" s="45"/>
      <c r="G29" s="45"/>
      <c r="H29" s="45"/>
      <c r="I29" s="45"/>
      <c r="J29" s="45"/>
      <c r="K29" s="45"/>
      <c r="L29" s="45"/>
      <c r="M29" s="45"/>
      <c r="N29" s="80"/>
      <c r="O29" s="35"/>
      <c r="P29" s="35"/>
      <c r="Q29" s="35"/>
      <c r="R29" s="35"/>
      <c r="S29" s="35"/>
      <c r="T29" s="35"/>
    </row>
    <row r="30" spans="1:20" ht="35.25" customHeight="1" x14ac:dyDescent="0.2">
      <c r="A30" s="72" t="s">
        <v>260</v>
      </c>
      <c r="B30" s="255" t="s">
        <v>249</v>
      </c>
      <c r="C30" s="82" t="s">
        <v>90</v>
      </c>
      <c r="D30" s="138"/>
      <c r="E30" s="183" t="s">
        <v>2</v>
      </c>
      <c r="F30" s="40">
        <v>0.97</v>
      </c>
      <c r="G30" s="140">
        <f>(1+0.99+0.99)/3</f>
        <v>0.99333333333333329</v>
      </c>
      <c r="H30" s="140">
        <f>(0.99+0.98+1)/3</f>
        <v>0.98999999999999988</v>
      </c>
      <c r="I30" s="140">
        <f>(1+1+1)/3</f>
        <v>1</v>
      </c>
      <c r="J30" s="140">
        <f>(1+1+1)/3</f>
        <v>1</v>
      </c>
      <c r="K30" s="140">
        <f>(0.99+1+1)/3</f>
        <v>0.9966666666666667</v>
      </c>
      <c r="L30" s="140">
        <f>(0.98+0.98+1)/3</f>
        <v>0.98666666666666669</v>
      </c>
      <c r="M30" s="140">
        <f>(0.992+0.996+0.999)/3</f>
        <v>0.9956666666666667</v>
      </c>
      <c r="N30" s="95"/>
      <c r="O30" s="134"/>
      <c r="P30" s="134"/>
      <c r="Q30" s="134"/>
      <c r="R30" s="134"/>
      <c r="S30" s="134"/>
      <c r="T30" s="134"/>
    </row>
    <row r="31" spans="1:20" ht="31.5" customHeight="1" x14ac:dyDescent="0.2">
      <c r="A31" s="72" t="s">
        <v>261</v>
      </c>
      <c r="B31" s="255" t="s">
        <v>258</v>
      </c>
      <c r="C31" s="85" t="s">
        <v>91</v>
      </c>
      <c r="D31" s="138"/>
      <c r="E31" s="183" t="s">
        <v>2</v>
      </c>
      <c r="F31" s="40">
        <v>0.97</v>
      </c>
      <c r="G31" s="69">
        <f>(1+1+1)/3</f>
        <v>1</v>
      </c>
      <c r="H31" s="69">
        <f>(1+1+1)/3</f>
        <v>1</v>
      </c>
      <c r="I31" s="69">
        <f>(1+1+0.99)/3</f>
        <v>0.9966666666666667</v>
      </c>
      <c r="J31" s="69">
        <f>(1+1+1)/3</f>
        <v>1</v>
      </c>
      <c r="K31" s="131">
        <f>(0.87+1+1)/3</f>
        <v>0.95666666666666667</v>
      </c>
      <c r="L31" s="69">
        <f>(1+1+1)/3</f>
        <v>1</v>
      </c>
      <c r="M31" s="69">
        <f>(1+1+1)/3</f>
        <v>1</v>
      </c>
      <c r="N31" s="95"/>
      <c r="O31" s="35"/>
      <c r="P31" s="35"/>
      <c r="Q31" s="35"/>
      <c r="R31" s="95" t="s">
        <v>375</v>
      </c>
      <c r="S31" s="95"/>
      <c r="T31" s="95"/>
    </row>
    <row r="32" spans="1:20" ht="25.5" x14ac:dyDescent="0.2">
      <c r="A32" s="72" t="s">
        <v>262</v>
      </c>
      <c r="B32" s="255" t="s">
        <v>259</v>
      </c>
      <c r="C32" s="81" t="s">
        <v>92</v>
      </c>
      <c r="D32" s="138"/>
      <c r="E32" s="183" t="s">
        <v>2</v>
      </c>
      <c r="F32" s="40">
        <v>0.97</v>
      </c>
      <c r="G32" s="143">
        <f>(0.97+0.99+0.98)/3</f>
        <v>0.98</v>
      </c>
      <c r="H32" s="143">
        <f>(1+1+1)/3</f>
        <v>1</v>
      </c>
      <c r="I32" s="140">
        <f>(1+1+1)/3</f>
        <v>1</v>
      </c>
      <c r="J32" s="140">
        <f>(1+1+1)/3</f>
        <v>1</v>
      </c>
      <c r="K32" s="257">
        <f>(0.98+0.84+0.95)/3</f>
        <v>0.92333333333333323</v>
      </c>
      <c r="L32" s="257">
        <f>(0.89+0.9+0.98)/3</f>
        <v>0.92333333333333334</v>
      </c>
      <c r="M32" s="69">
        <f>(0.95+0.99+1)/3</f>
        <v>0.98</v>
      </c>
      <c r="N32" s="95"/>
      <c r="O32" s="134"/>
      <c r="P32" s="134"/>
      <c r="Q32" s="134"/>
      <c r="R32" s="95" t="s">
        <v>376</v>
      </c>
      <c r="S32" s="95" t="s">
        <v>376</v>
      </c>
      <c r="T32" s="95" t="s">
        <v>376</v>
      </c>
    </row>
    <row r="33" spans="1:20" ht="76.5" x14ac:dyDescent="0.2">
      <c r="A33" s="72" t="s">
        <v>263</v>
      </c>
      <c r="B33" s="255" t="s">
        <v>335</v>
      </c>
      <c r="C33" s="81" t="s">
        <v>93</v>
      </c>
      <c r="D33" s="135"/>
      <c r="E33" s="183" t="s">
        <v>2</v>
      </c>
      <c r="F33" s="40">
        <v>0.97</v>
      </c>
      <c r="G33" s="155">
        <f>(0.94+1+0.97)/3</f>
        <v>0.97000000000000008</v>
      </c>
      <c r="H33" s="69">
        <f>(0.97+1+1)/3</f>
        <v>0.98999999999999988</v>
      </c>
      <c r="I33" s="69">
        <f>(1+1+0.98)/3</f>
        <v>0.99333333333333329</v>
      </c>
      <c r="J33" s="238">
        <f>(0.99+0.99+0.92)/3</f>
        <v>0.96666666666666667</v>
      </c>
      <c r="K33" s="238">
        <f>(1+0.97+0.96)/3</f>
        <v>0.97666666666666657</v>
      </c>
      <c r="L33" s="131">
        <f>(0.9+0.84+0.95)/3</f>
        <v>0.89666666666666661</v>
      </c>
      <c r="M33" s="131">
        <f>(0.91+0.95+0.96)/3</f>
        <v>0.94</v>
      </c>
      <c r="N33" s="95" t="s">
        <v>147</v>
      </c>
      <c r="O33" s="95"/>
      <c r="P33" s="95"/>
      <c r="Q33" s="95"/>
      <c r="R33" s="95" t="s">
        <v>378</v>
      </c>
      <c r="S33" s="95" t="s">
        <v>412</v>
      </c>
      <c r="T33" s="95" t="s">
        <v>412</v>
      </c>
    </row>
    <row r="34" spans="1:20" s="30" customFormat="1" ht="25.5" x14ac:dyDescent="0.2">
      <c r="A34" s="72" t="s">
        <v>264</v>
      </c>
      <c r="B34" s="256" t="s">
        <v>336</v>
      </c>
      <c r="C34" s="81" t="s">
        <v>94</v>
      </c>
      <c r="D34" s="135"/>
      <c r="E34" s="183" t="s">
        <v>2</v>
      </c>
      <c r="F34" s="40">
        <v>0.97</v>
      </c>
      <c r="G34" s="88">
        <f>(0.97+0.99+0.99)/3</f>
        <v>0.98333333333333339</v>
      </c>
      <c r="H34" s="88">
        <f>(0.99+0.99+1)/3</f>
        <v>0.99333333333333329</v>
      </c>
      <c r="I34" s="69">
        <f>(1+0.99+1)/3</f>
        <v>0.9966666666666667</v>
      </c>
      <c r="J34" s="69">
        <f>(1+0.99+1)/3</f>
        <v>0.9966666666666667</v>
      </c>
      <c r="K34" s="258">
        <f>(0.97+0.98+0.97)/3</f>
        <v>0.97333333333333327</v>
      </c>
      <c r="L34" s="258">
        <f>(0.92+0.99+1)/3</f>
        <v>0.97000000000000008</v>
      </c>
      <c r="M34" s="238">
        <f>(0.99+1+0.88)/3</f>
        <v>0.95666666666666667</v>
      </c>
      <c r="N34" s="95"/>
      <c r="O34" s="80"/>
      <c r="P34" s="80"/>
      <c r="Q34" s="80"/>
      <c r="R34" s="95" t="s">
        <v>380</v>
      </c>
      <c r="S34" s="95" t="s">
        <v>413</v>
      </c>
      <c r="T34" s="95" t="s">
        <v>413</v>
      </c>
    </row>
    <row r="35" spans="1:20" ht="38.25" x14ac:dyDescent="0.2">
      <c r="A35" s="72" t="s">
        <v>265</v>
      </c>
      <c r="B35" s="256" t="s">
        <v>337</v>
      </c>
      <c r="C35" s="81" t="s">
        <v>95</v>
      </c>
      <c r="D35" s="135"/>
      <c r="E35" s="183" t="s">
        <v>2</v>
      </c>
      <c r="F35" s="40">
        <v>0.95</v>
      </c>
      <c r="G35" s="69">
        <f>((1+1+1)*42+(168-42)*(1+1+1))/(168*3)</f>
        <v>1</v>
      </c>
      <c r="H35" s="155">
        <f>((1+1+1)*42+(168-42)*(1+0.8+1))/(168*3)</f>
        <v>0.95</v>
      </c>
      <c r="I35" s="69">
        <f>((1+1+1)*42+(168-42)*(1+1+1))/(168*3)</f>
        <v>1</v>
      </c>
      <c r="J35" s="69">
        <f>((1+1+1)*42+(168-42)*(1+1+1))/(168*3)</f>
        <v>1</v>
      </c>
      <c r="K35" s="69">
        <f>((1+1+1)*42+(168-42)*(1+1+1))/(168*3)</f>
        <v>1</v>
      </c>
      <c r="L35" s="69">
        <f>(1+1+1)/3</f>
        <v>1</v>
      </c>
      <c r="M35" s="69">
        <f>(1+1+1)/3</f>
        <v>1</v>
      </c>
      <c r="N35" s="95" t="s">
        <v>179</v>
      </c>
      <c r="O35" s="95"/>
      <c r="P35" s="95"/>
      <c r="Q35" s="95"/>
      <c r="R35" s="95"/>
      <c r="S35" s="95"/>
      <c r="T35" s="95"/>
    </row>
    <row r="36" spans="1:20" ht="38.25" x14ac:dyDescent="0.2">
      <c r="A36" s="72" t="s">
        <v>266</v>
      </c>
      <c r="B36" s="256" t="s">
        <v>338</v>
      </c>
      <c r="C36" s="81" t="s">
        <v>96</v>
      </c>
      <c r="D36" s="135"/>
      <c r="E36" s="183" t="s">
        <v>2</v>
      </c>
      <c r="F36" s="93" t="s">
        <v>104</v>
      </c>
      <c r="G36" s="90">
        <f>(0+1+1)/3</f>
        <v>0.66666666666666663</v>
      </c>
      <c r="H36" s="90">
        <f>(0+0+0)/3</f>
        <v>0</v>
      </c>
      <c r="I36" s="90">
        <f>(1+0+0)/3</f>
        <v>0.33333333333333331</v>
      </c>
      <c r="J36" s="305">
        <f>(0+3+1)/3</f>
        <v>1.3333333333333333</v>
      </c>
      <c r="K36" s="304">
        <f>(0+0+1)/3</f>
        <v>0.33333333333333331</v>
      </c>
      <c r="L36" s="304">
        <f>(0+0+1)/3</f>
        <v>0.33333333333333331</v>
      </c>
      <c r="M36" s="304">
        <f>(3+4+0)/3</f>
        <v>2.3333333333333335</v>
      </c>
      <c r="N36" s="134"/>
      <c r="O36" s="95"/>
      <c r="P36" s="95"/>
      <c r="Q36" s="95"/>
      <c r="R36" s="95"/>
      <c r="S36" s="95"/>
      <c r="T36" s="95"/>
    </row>
    <row r="37" spans="1:20" ht="25.5" x14ac:dyDescent="0.2">
      <c r="A37" s="72" t="s">
        <v>267</v>
      </c>
      <c r="B37" s="256" t="s">
        <v>339</v>
      </c>
      <c r="C37" s="81" t="s">
        <v>97</v>
      </c>
      <c r="D37" s="135"/>
      <c r="E37" s="184" t="s">
        <v>178</v>
      </c>
      <c r="F37" s="40">
        <v>0.7</v>
      </c>
      <c r="G37" s="69">
        <f>(0.88+0.78+0.85)/3</f>
        <v>0.83666666666666678</v>
      </c>
      <c r="H37" s="69">
        <f>(0.88+0.87+0.83)/3</f>
        <v>0.86</v>
      </c>
      <c r="I37" s="219">
        <f>(0.89+0.9+0.89)/3</f>
        <v>0.89333333333333342</v>
      </c>
      <c r="J37" s="239">
        <f>(0.85+0.82+0.83)/3</f>
        <v>0.83333333333333337</v>
      </c>
      <c r="K37" s="254">
        <f>(0.84+0.79+0.72)/3</f>
        <v>0.78333333333333321</v>
      </c>
      <c r="L37" s="254">
        <f>(0.67+0.77+0.88)/3</f>
        <v>0.77333333333333332</v>
      </c>
      <c r="M37" s="293">
        <f>(0.88+0.85+0.89)/3</f>
        <v>0.87333333333333341</v>
      </c>
      <c r="N37" s="134"/>
      <c r="O37" s="95"/>
      <c r="P37" s="95"/>
      <c r="Q37" s="95"/>
      <c r="R37" s="95"/>
      <c r="S37" s="95"/>
      <c r="T37" s="95"/>
    </row>
    <row r="38" spans="1:20" x14ac:dyDescent="0.2">
      <c r="A38" s="72" t="s">
        <v>268</v>
      </c>
      <c r="B38" s="256" t="s">
        <v>340</v>
      </c>
      <c r="C38" s="81" t="s">
        <v>98</v>
      </c>
      <c r="D38" s="135"/>
      <c r="E38" s="184" t="s">
        <v>178</v>
      </c>
      <c r="F38" s="40">
        <v>0.7</v>
      </c>
      <c r="G38" s="69">
        <f>(0.83+0.9+0.93)/3</f>
        <v>0.88666666666666671</v>
      </c>
      <c r="H38" s="69">
        <f>(0.88+0.93+0.95)/3</f>
        <v>0.91999999999999993</v>
      </c>
      <c r="I38" s="69">
        <f>(0.91+0.93+0.92)/3</f>
        <v>0.92</v>
      </c>
      <c r="J38" s="239">
        <f>(0.92+0.95+0.97)/3</f>
        <v>0.94666666666666666</v>
      </c>
      <c r="K38" s="254">
        <f>(0.97+0.88+0.98)/3</f>
        <v>0.94333333333333336</v>
      </c>
      <c r="L38" s="254">
        <f>(0.94+0.95+0.96)/3</f>
        <v>0.94999999999999984</v>
      </c>
      <c r="M38" s="293">
        <f>(0.97+0.85+0.9)/3</f>
        <v>0.90666666666666662</v>
      </c>
      <c r="N38" s="134"/>
      <c r="O38" s="95"/>
      <c r="P38" s="95"/>
      <c r="Q38" s="95"/>
      <c r="R38" s="95"/>
      <c r="S38" s="95"/>
      <c r="T38" s="95"/>
    </row>
    <row r="39" spans="1:20" ht="25.5" x14ac:dyDescent="0.2">
      <c r="A39" s="72" t="s">
        <v>269</v>
      </c>
      <c r="B39" s="256" t="s">
        <v>341</v>
      </c>
      <c r="C39" s="81" t="s">
        <v>105</v>
      </c>
      <c r="D39" s="135"/>
      <c r="E39" s="184" t="s">
        <v>178</v>
      </c>
      <c r="F39" s="40">
        <v>0.2</v>
      </c>
      <c r="G39" s="69">
        <f>(0.78+0.78+0.79)/3</f>
        <v>0.78333333333333333</v>
      </c>
      <c r="H39" s="69">
        <f>(0.77+0.77+0.78)/3</f>
        <v>0.77333333333333343</v>
      </c>
      <c r="I39" s="69">
        <f>(0.76+0.79+0.82)/3</f>
        <v>0.79</v>
      </c>
      <c r="J39" s="239">
        <f>(0.85+0.7+0.75)/3</f>
        <v>0.76666666666666661</v>
      </c>
      <c r="K39" s="254">
        <f>(0.78+0.79+0.75)/3</f>
        <v>0.77333333333333343</v>
      </c>
      <c r="L39" s="254"/>
      <c r="M39" s="293">
        <f>(0.47+0.46+0.47)/3</f>
        <v>0.46666666666666662</v>
      </c>
      <c r="N39" s="134"/>
      <c r="O39" s="95"/>
      <c r="P39" s="95"/>
      <c r="Q39" s="95"/>
      <c r="R39" s="95"/>
      <c r="S39" s="95"/>
      <c r="T39" s="95"/>
    </row>
    <row r="40" spans="1:20" ht="13.5" thickBot="1" x14ac:dyDescent="0.25">
      <c r="A40" s="72" t="s">
        <v>270</v>
      </c>
      <c r="B40" s="256" t="s">
        <v>342</v>
      </c>
      <c r="C40" s="86" t="s">
        <v>106</v>
      </c>
      <c r="D40" s="135"/>
      <c r="E40" s="39" t="s">
        <v>55</v>
      </c>
      <c r="F40" s="41">
        <f>6770*0.8</f>
        <v>5416</v>
      </c>
      <c r="G40" s="92">
        <f>(15314+15690+16230)/3</f>
        <v>15744.666666666666</v>
      </c>
      <c r="H40" s="92">
        <f>(16600+17200+17900)/3</f>
        <v>17233.333333333332</v>
      </c>
      <c r="I40" s="220">
        <f>(18100+19160+19760)/3</f>
        <v>19006.666666666668</v>
      </c>
      <c r="J40" s="239">
        <f>(20980+21600+22600)/3</f>
        <v>21726.666666666668</v>
      </c>
      <c r="K40" s="254">
        <f>(22900+22480+21970)/3</f>
        <v>22450</v>
      </c>
      <c r="L40" s="254">
        <f>(22600+23500+24100)/3</f>
        <v>23400</v>
      </c>
      <c r="M40" s="292">
        <f>(24800+26900+27600)/3</f>
        <v>26433.333333333332</v>
      </c>
      <c r="N40" s="134"/>
      <c r="O40" s="95"/>
      <c r="P40" s="95"/>
      <c r="Q40" s="95"/>
      <c r="R40" s="95"/>
      <c r="S40" s="95"/>
      <c r="T40" s="95"/>
    </row>
    <row r="41" spans="1:20" x14ac:dyDescent="0.2">
      <c r="N41" s="27"/>
      <c r="O41" s="27"/>
      <c r="P41" s="27"/>
      <c r="Q41" s="27"/>
      <c r="R41" s="27"/>
      <c r="S41" s="27"/>
      <c r="T41" s="27"/>
    </row>
    <row r="42" spans="1:20" ht="13.5" thickBot="1" x14ac:dyDescent="0.25">
      <c r="A42" s="206" t="s">
        <v>271</v>
      </c>
    </row>
    <row r="43" spans="1:20" ht="26.25" thickTop="1" x14ac:dyDescent="0.2">
      <c r="A43" s="207" t="s">
        <v>202</v>
      </c>
      <c r="B43" s="208"/>
      <c r="C43" s="209" t="s">
        <v>203</v>
      </c>
      <c r="D43" s="210"/>
      <c r="E43" s="211" t="s">
        <v>212</v>
      </c>
      <c r="F43" s="210"/>
      <c r="G43" s="212"/>
      <c r="H43" s="212"/>
      <c r="I43" s="212"/>
      <c r="J43" s="212"/>
      <c r="K43" s="212"/>
      <c r="L43" s="212"/>
      <c r="M43" s="212"/>
      <c r="N43" s="210"/>
      <c r="O43" s="213"/>
      <c r="P43" s="213"/>
      <c r="Q43" s="213"/>
      <c r="R43" s="213"/>
      <c r="S43" s="213"/>
      <c r="T43" s="213"/>
    </row>
    <row r="44" spans="1:20" ht="25.5" x14ac:dyDescent="0.2">
      <c r="A44" s="214" t="s">
        <v>208</v>
      </c>
      <c r="B44" s="197"/>
      <c r="C44" s="198" t="s">
        <v>204</v>
      </c>
      <c r="D44" s="38"/>
      <c r="E44" s="200" t="s">
        <v>212</v>
      </c>
      <c r="F44" s="38"/>
      <c r="G44" s="201"/>
      <c r="H44" s="201"/>
      <c r="I44" s="201"/>
      <c r="J44" s="201"/>
      <c r="K44" s="201"/>
      <c r="L44" s="201"/>
      <c r="M44" s="201"/>
      <c r="N44" s="38"/>
      <c r="O44" s="215"/>
      <c r="P44" s="215"/>
      <c r="Q44" s="215"/>
      <c r="R44" s="215"/>
      <c r="S44" s="215"/>
      <c r="T44" s="215"/>
    </row>
    <row r="45" spans="1:20" ht="63.75" customHeight="1" x14ac:dyDescent="0.2">
      <c r="A45" s="214" t="s">
        <v>209</v>
      </c>
      <c r="B45" s="197"/>
      <c r="C45" s="199" t="s">
        <v>205</v>
      </c>
      <c r="D45" s="38"/>
      <c r="E45" s="200" t="s">
        <v>212</v>
      </c>
      <c r="F45" s="38"/>
      <c r="G45" s="201"/>
      <c r="H45" s="201"/>
      <c r="I45" s="201"/>
      <c r="J45" s="201"/>
      <c r="K45" s="201"/>
      <c r="L45" s="201"/>
      <c r="M45" s="201"/>
      <c r="N45" s="38"/>
      <c r="O45" s="216"/>
      <c r="P45" s="216"/>
      <c r="Q45" s="216"/>
      <c r="R45" s="216"/>
      <c r="S45" s="216"/>
      <c r="T45" s="216"/>
    </row>
    <row r="46" spans="1:20" s="274" customFormat="1" ht="84.75" customHeight="1" x14ac:dyDescent="0.2">
      <c r="A46" s="264" t="s">
        <v>210</v>
      </c>
      <c r="B46" s="265"/>
      <c r="C46" s="266" t="s">
        <v>206</v>
      </c>
      <c r="D46" s="267"/>
      <c r="E46" s="268" t="s">
        <v>212</v>
      </c>
      <c r="F46" s="269" t="s">
        <v>213</v>
      </c>
      <c r="G46" s="270"/>
      <c r="H46" s="271" t="s">
        <v>300</v>
      </c>
      <c r="I46" s="271" t="s">
        <v>301</v>
      </c>
      <c r="J46" s="272" t="s">
        <v>384</v>
      </c>
      <c r="K46" s="270"/>
      <c r="L46" s="270"/>
      <c r="M46" s="295">
        <v>1</v>
      </c>
      <c r="N46" s="267"/>
      <c r="O46" s="273"/>
      <c r="P46" s="273"/>
      <c r="Q46" s="273"/>
      <c r="R46" s="273" t="s">
        <v>386</v>
      </c>
      <c r="S46" s="273"/>
      <c r="T46" s="273"/>
    </row>
    <row r="47" spans="1:20" s="274" customFormat="1" ht="54" customHeight="1" thickBot="1" x14ac:dyDescent="0.25">
      <c r="A47" s="275" t="s">
        <v>211</v>
      </c>
      <c r="B47" s="276"/>
      <c r="C47" s="277" t="s">
        <v>207</v>
      </c>
      <c r="D47" s="278"/>
      <c r="E47" s="279" t="s">
        <v>212</v>
      </c>
      <c r="F47" s="280" t="s">
        <v>213</v>
      </c>
      <c r="G47" s="281"/>
      <c r="H47" s="271">
        <v>99.92</v>
      </c>
      <c r="I47" s="271">
        <v>100</v>
      </c>
      <c r="J47" s="283"/>
      <c r="K47" s="283">
        <v>100</v>
      </c>
      <c r="L47" s="283">
        <v>99.96</v>
      </c>
      <c r="M47" s="283">
        <v>100</v>
      </c>
      <c r="N47" s="278"/>
      <c r="O47" s="282"/>
      <c r="P47" s="282"/>
      <c r="Q47" s="282"/>
      <c r="R47" s="282"/>
      <c r="S47" s="282"/>
      <c r="T47" s="282"/>
    </row>
    <row r="48" spans="1:20" ht="13.5" thickTop="1" x14ac:dyDescent="0.2"/>
  </sheetData>
  <phoneticPr fontId="0"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pageSetUpPr fitToPage="1"/>
  </sheetPr>
  <dimension ref="A1:O57"/>
  <sheetViews>
    <sheetView topLeftCell="A30" zoomScale="80" zoomScaleNormal="80" zoomScalePageLayoutView="80" workbookViewId="0">
      <selection activeCell="A37" sqref="A37:E37"/>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1" t="s">
        <v>247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t="s">
        <v>150</v>
      </c>
      <c r="C9" s="362"/>
      <c r="D9" s="362"/>
      <c r="E9" s="362"/>
      <c r="F9" s="362"/>
      <c r="G9" s="363" t="s">
        <v>151</v>
      </c>
      <c r="H9" s="363"/>
      <c r="I9" s="363"/>
      <c r="J9" s="363"/>
      <c r="K9" s="364"/>
      <c r="N9" s="163"/>
    </row>
    <row r="10" spans="1:14" ht="217.5" customHeight="1" x14ac:dyDescent="0.2">
      <c r="A10" s="65" t="s">
        <v>52</v>
      </c>
      <c r="B10" s="346" t="s">
        <v>149</v>
      </c>
      <c r="C10" s="347"/>
      <c r="D10" s="347"/>
      <c r="E10" s="347"/>
      <c r="F10" s="347"/>
      <c r="G10" s="366"/>
      <c r="H10" s="366"/>
      <c r="I10" s="366"/>
      <c r="J10" s="366"/>
      <c r="K10" s="367"/>
    </row>
    <row r="11" spans="1:14" ht="143.25" customHeight="1" x14ac:dyDescent="0.2">
      <c r="A11" s="65" t="s">
        <v>48</v>
      </c>
      <c r="B11" s="346" t="s">
        <v>148</v>
      </c>
      <c r="C11" s="347"/>
      <c r="D11" s="347"/>
      <c r="E11" s="347"/>
      <c r="F11" s="347"/>
      <c r="G11" s="366"/>
      <c r="H11" s="366"/>
      <c r="I11" s="366"/>
      <c r="J11" s="366"/>
      <c r="K11" s="367"/>
    </row>
    <row r="12" spans="1:14" ht="194.25" customHeight="1" x14ac:dyDescent="0.2">
      <c r="A12" s="65" t="s">
        <v>60</v>
      </c>
      <c r="B12" s="346" t="s">
        <v>153</v>
      </c>
      <c r="C12" s="347"/>
      <c r="D12" s="347"/>
      <c r="E12" s="347"/>
      <c r="F12" s="347"/>
      <c r="G12" s="366" t="s">
        <v>174</v>
      </c>
      <c r="H12" s="366"/>
      <c r="I12" s="366"/>
      <c r="J12" s="366"/>
      <c r="K12" s="367"/>
    </row>
    <row r="13" spans="1:14" ht="243.75" customHeight="1" x14ac:dyDescent="0.2">
      <c r="A13" s="65" t="s">
        <v>59</v>
      </c>
      <c r="B13" s="346"/>
      <c r="C13" s="347"/>
      <c r="D13" s="347"/>
      <c r="E13" s="347"/>
      <c r="F13" s="347"/>
      <c r="G13" s="347" t="s">
        <v>156</v>
      </c>
      <c r="H13" s="347"/>
      <c r="I13" s="347"/>
      <c r="J13" s="347"/>
      <c r="K13" s="348"/>
    </row>
    <row r="14" spans="1:14" ht="129.75" customHeight="1" x14ac:dyDescent="0.2">
      <c r="A14" s="65" t="s">
        <v>74</v>
      </c>
      <c r="B14" s="346"/>
      <c r="C14" s="347"/>
      <c r="D14" s="347"/>
      <c r="E14" s="347"/>
      <c r="F14" s="347"/>
      <c r="G14" s="347"/>
      <c r="H14" s="347"/>
      <c r="I14" s="347"/>
      <c r="J14" s="347"/>
      <c r="K14" s="348"/>
    </row>
    <row r="15" spans="1:14" ht="134.25" customHeight="1" x14ac:dyDescent="0.2">
      <c r="A15" s="66" t="s">
        <v>70</v>
      </c>
      <c r="B15" s="346"/>
      <c r="C15" s="347"/>
      <c r="D15" s="347"/>
      <c r="E15" s="347"/>
      <c r="F15" s="347"/>
      <c r="G15" s="347"/>
      <c r="H15" s="347"/>
      <c r="I15" s="347"/>
      <c r="J15" s="347"/>
      <c r="K15" s="348"/>
    </row>
    <row r="16" spans="1:14" ht="212.25" customHeight="1" x14ac:dyDescent="0.2">
      <c r="A16" s="65" t="s">
        <v>1</v>
      </c>
      <c r="B16" s="346"/>
      <c r="C16" s="347"/>
      <c r="D16" s="347"/>
      <c r="E16" s="347"/>
      <c r="F16" s="347"/>
      <c r="G16" s="347"/>
      <c r="H16" s="347"/>
      <c r="I16" s="347"/>
      <c r="J16" s="347"/>
      <c r="K16" s="348"/>
    </row>
    <row r="17" spans="1:11" ht="158.25" customHeight="1" x14ac:dyDescent="0.2">
      <c r="A17" s="65" t="s">
        <v>51</v>
      </c>
      <c r="B17" s="346" t="s">
        <v>152</v>
      </c>
      <c r="C17" s="347"/>
      <c r="D17" s="347"/>
      <c r="E17" s="347"/>
      <c r="F17" s="347"/>
      <c r="G17" s="347" t="s">
        <v>154</v>
      </c>
      <c r="H17" s="347"/>
      <c r="I17" s="347"/>
      <c r="J17" s="347"/>
      <c r="K17" s="348"/>
    </row>
    <row r="18" spans="1:11" ht="146.25" customHeight="1" thickBot="1" x14ac:dyDescent="0.25">
      <c r="A18" s="67" t="s">
        <v>110</v>
      </c>
      <c r="B18" s="357"/>
      <c r="C18" s="355"/>
      <c r="D18" s="355"/>
      <c r="E18" s="355"/>
      <c r="F18" s="358"/>
      <c r="G18" s="354"/>
      <c r="H18" s="355"/>
      <c r="I18" s="355"/>
      <c r="J18" s="355"/>
      <c r="K18" s="356"/>
    </row>
    <row r="19" spans="1:11" ht="127.5" customHeight="1" thickBot="1" x14ac:dyDescent="0.25">
      <c r="A19" s="67" t="s">
        <v>111</v>
      </c>
      <c r="B19" s="357"/>
      <c r="C19" s="355"/>
      <c r="D19" s="355"/>
      <c r="E19" s="355"/>
      <c r="F19" s="358"/>
      <c r="G19" s="354" t="s">
        <v>155</v>
      </c>
      <c r="H19" s="355"/>
      <c r="I19" s="355"/>
      <c r="J19" s="355"/>
      <c r="K19" s="356"/>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328" t="s">
        <v>14</v>
      </c>
      <c r="B23" s="329"/>
      <c r="C23" s="329"/>
      <c r="D23" s="329"/>
      <c r="E23" s="329"/>
      <c r="F23" s="329" t="s">
        <v>16</v>
      </c>
      <c r="G23" s="329"/>
      <c r="H23" s="329"/>
      <c r="I23" s="329"/>
      <c r="J23" s="330"/>
    </row>
    <row r="24" spans="1:11" ht="81" customHeight="1" thickBot="1" x14ac:dyDescent="0.25">
      <c r="A24" s="314" t="s">
        <v>135</v>
      </c>
      <c r="B24" s="315"/>
      <c r="C24" s="315"/>
      <c r="D24" s="315"/>
      <c r="E24" s="316"/>
      <c r="F24" s="317" t="s">
        <v>414</v>
      </c>
      <c r="G24" s="315"/>
      <c r="H24" s="315"/>
      <c r="I24" s="315"/>
      <c r="J24" s="318"/>
    </row>
    <row r="25" spans="1:11" ht="13.5" thickBot="1" x14ac:dyDescent="0.25">
      <c r="A25" s="351"/>
      <c r="B25" s="352"/>
      <c r="C25" s="352"/>
      <c r="D25" s="352"/>
      <c r="E25" s="353"/>
      <c r="F25" s="349"/>
      <c r="G25" s="349"/>
      <c r="H25" s="349"/>
      <c r="I25" s="349"/>
      <c r="J25" s="350"/>
    </row>
    <row r="27" spans="1:11" ht="13.5" thickBot="1" x14ac:dyDescent="0.25">
      <c r="A27" s="1" t="s">
        <v>43</v>
      </c>
    </row>
    <row r="28" spans="1:11" ht="13.5" thickBot="1" x14ac:dyDescent="0.25">
      <c r="A28" s="328" t="s">
        <v>14</v>
      </c>
      <c r="B28" s="329"/>
      <c r="C28" s="329"/>
      <c r="D28" s="329"/>
      <c r="E28" s="329"/>
      <c r="F28" s="329" t="s">
        <v>16</v>
      </c>
      <c r="G28" s="329"/>
      <c r="H28" s="329"/>
      <c r="I28" s="329"/>
      <c r="J28" s="330"/>
    </row>
    <row r="29" spans="1:11" ht="86.25" customHeight="1" thickBot="1" x14ac:dyDescent="0.25">
      <c r="A29" s="341" t="s">
        <v>157</v>
      </c>
      <c r="B29" s="342"/>
      <c r="C29" s="342"/>
      <c r="D29" s="342"/>
      <c r="E29" s="342"/>
      <c r="F29" s="343" t="s">
        <v>142</v>
      </c>
      <c r="G29" s="344"/>
      <c r="H29" s="344"/>
      <c r="I29" s="344"/>
      <c r="J29" s="345"/>
    </row>
    <row r="30" spans="1:11" ht="93" customHeight="1" thickBot="1" x14ac:dyDescent="0.25">
      <c r="A30" s="341" t="s">
        <v>144</v>
      </c>
      <c r="B30" s="342"/>
      <c r="C30" s="342"/>
      <c r="D30" s="342"/>
      <c r="E30" s="342"/>
      <c r="F30" s="343" t="s">
        <v>131</v>
      </c>
      <c r="G30" s="344"/>
      <c r="H30" s="344"/>
      <c r="I30" s="344"/>
      <c r="J30" s="345"/>
    </row>
    <row r="31" spans="1:11" ht="135" customHeight="1" thickBot="1" x14ac:dyDescent="0.25">
      <c r="A31" s="341" t="s">
        <v>141</v>
      </c>
      <c r="B31" s="342"/>
      <c r="C31" s="342"/>
      <c r="D31" s="342"/>
      <c r="E31" s="342"/>
      <c r="F31" s="343" t="s">
        <v>143</v>
      </c>
      <c r="G31" s="344"/>
      <c r="H31" s="344"/>
      <c r="I31" s="344"/>
      <c r="J31" s="345"/>
    </row>
    <row r="32" spans="1:11" ht="166.5" customHeight="1" thickBot="1" x14ac:dyDescent="0.25">
      <c r="A32" s="314" t="s">
        <v>130</v>
      </c>
      <c r="B32" s="315"/>
      <c r="C32" s="315"/>
      <c r="D32" s="315"/>
      <c r="E32" s="316"/>
      <c r="F32" s="317" t="s">
        <v>168</v>
      </c>
      <c r="G32" s="315"/>
      <c r="H32" s="315"/>
      <c r="I32" s="315"/>
      <c r="J32" s="318"/>
    </row>
    <row r="34" spans="1:15" ht="13.5" thickBot="1" x14ac:dyDescent="0.25">
      <c r="A34" s="1" t="s">
        <v>17</v>
      </c>
    </row>
    <row r="35" spans="1:15" ht="13.5" thickBot="1" x14ac:dyDescent="0.25">
      <c r="A35" s="328" t="s">
        <v>18</v>
      </c>
      <c r="B35" s="329"/>
      <c r="C35" s="329"/>
      <c r="D35" s="329"/>
      <c r="E35" s="329"/>
      <c r="F35" s="319" t="s">
        <v>19</v>
      </c>
      <c r="G35" s="320"/>
      <c r="H35" s="319" t="s">
        <v>20</v>
      </c>
      <c r="I35" s="329"/>
      <c r="J35" s="329"/>
      <c r="K35" s="329"/>
      <c r="L35" s="330"/>
    </row>
    <row r="36" spans="1:15" ht="42.75" customHeight="1" thickBot="1" x14ac:dyDescent="0.25">
      <c r="A36" s="321" t="s">
        <v>137</v>
      </c>
      <c r="B36" s="322"/>
      <c r="C36" s="322"/>
      <c r="D36" s="322"/>
      <c r="E36" s="322"/>
      <c r="F36" s="323">
        <v>42460</v>
      </c>
      <c r="G36" s="324"/>
      <c r="H36" s="325" t="s">
        <v>163</v>
      </c>
      <c r="I36" s="326"/>
      <c r="J36" s="326"/>
      <c r="K36" s="326"/>
      <c r="L36" s="327"/>
    </row>
    <row r="37" spans="1:15" ht="42.75" customHeight="1" thickBot="1" x14ac:dyDescent="0.25">
      <c r="A37" s="321" t="s">
        <v>161</v>
      </c>
      <c r="B37" s="322"/>
      <c r="C37" s="322"/>
      <c r="D37" s="322"/>
      <c r="E37" s="322"/>
      <c r="F37" s="387">
        <v>42430</v>
      </c>
      <c r="G37" s="324"/>
      <c r="H37" s="325" t="s">
        <v>162</v>
      </c>
      <c r="I37" s="326"/>
      <c r="J37" s="326"/>
      <c r="K37" s="326"/>
      <c r="L37" s="327"/>
    </row>
    <row r="38" spans="1:15" ht="42.75" customHeight="1" thickBot="1" x14ac:dyDescent="0.25">
      <c r="A38" s="386"/>
      <c r="B38" s="335"/>
      <c r="C38" s="335"/>
      <c r="D38" s="335"/>
      <c r="E38" s="335"/>
      <c r="F38" s="336"/>
      <c r="G38" s="337"/>
      <c r="H38" s="317"/>
      <c r="I38" s="379"/>
      <c r="J38" s="379"/>
      <c r="K38" s="379"/>
      <c r="L38" s="380"/>
    </row>
    <row r="39" spans="1:15" ht="12" customHeight="1" thickBot="1" x14ac:dyDescent="0.25">
      <c r="A39" s="58"/>
      <c r="B39" s="59"/>
      <c r="C39" s="59"/>
      <c r="D39" s="59"/>
      <c r="E39" s="60"/>
      <c r="F39" s="54"/>
      <c r="G39" s="53"/>
      <c r="H39" s="55"/>
      <c r="I39" s="56"/>
      <c r="J39" s="56"/>
      <c r="K39" s="56"/>
      <c r="L39" s="57"/>
    </row>
    <row r="40" spans="1:15" ht="24.75" customHeight="1" x14ac:dyDescent="0.2">
      <c r="O40" s="32"/>
    </row>
    <row r="41" spans="1:15" ht="24.75" customHeight="1" thickBot="1" x14ac:dyDescent="0.25">
      <c r="A41" s="1" t="s">
        <v>21</v>
      </c>
      <c r="O41" s="32"/>
    </row>
    <row r="42" spans="1:15" ht="24.75" customHeight="1" thickBot="1" x14ac:dyDescent="0.25">
      <c r="A42" s="328" t="s">
        <v>18</v>
      </c>
      <c r="B42" s="329"/>
      <c r="C42" s="329"/>
      <c r="D42" s="329"/>
      <c r="E42" s="329"/>
      <c r="F42" s="319" t="s">
        <v>19</v>
      </c>
      <c r="G42" s="320"/>
      <c r="H42" s="331" t="s">
        <v>69</v>
      </c>
      <c r="I42" s="332"/>
      <c r="J42" s="332"/>
      <c r="K42" s="332"/>
      <c r="L42" s="333"/>
      <c r="O42" s="32"/>
    </row>
    <row r="43" spans="1:15" ht="115.5" customHeight="1" thickBot="1" x14ac:dyDescent="0.25">
      <c r="A43" s="386" t="s">
        <v>164</v>
      </c>
      <c r="B43" s="335"/>
      <c r="C43" s="335"/>
      <c r="D43" s="335"/>
      <c r="E43" s="335"/>
      <c r="F43" s="336" t="s">
        <v>165</v>
      </c>
      <c r="G43" s="337"/>
      <c r="H43" s="317"/>
      <c r="I43" s="339"/>
      <c r="J43" s="339"/>
      <c r="K43" s="339"/>
      <c r="L43" s="340"/>
    </row>
    <row r="44" spans="1:15" ht="115.5" customHeight="1" thickBot="1" x14ac:dyDescent="0.25">
      <c r="A44" s="386"/>
      <c r="B44" s="335"/>
      <c r="C44" s="335"/>
      <c r="D44" s="335"/>
      <c r="E44" s="335"/>
      <c r="F44" s="336"/>
      <c r="G44" s="337"/>
      <c r="H44" s="317"/>
      <c r="I44" s="339"/>
      <c r="J44" s="339"/>
      <c r="K44" s="339"/>
      <c r="L44" s="340"/>
    </row>
    <row r="45" spans="1:15" ht="115.5" customHeight="1" thickBot="1" x14ac:dyDescent="0.25">
      <c r="A45" s="334"/>
      <c r="B45" s="335"/>
      <c r="C45" s="335"/>
      <c r="D45" s="335"/>
      <c r="E45" s="335"/>
      <c r="F45" s="336"/>
      <c r="G45" s="337"/>
      <c r="H45" s="338"/>
      <c r="I45" s="339"/>
      <c r="J45" s="339"/>
      <c r="K45" s="339"/>
      <c r="L45" s="340"/>
    </row>
    <row r="47" spans="1:15" ht="24.75" customHeight="1" thickBot="1" x14ac:dyDescent="0.25">
      <c r="A47" s="50" t="s">
        <v>64</v>
      </c>
      <c r="O47" s="32"/>
    </row>
    <row r="48" spans="1:15" ht="24.75" customHeight="1" thickBot="1" x14ac:dyDescent="0.25">
      <c r="A48" s="328" t="s">
        <v>18</v>
      </c>
      <c r="B48" s="329"/>
      <c r="C48" s="329"/>
      <c r="D48" s="329"/>
      <c r="E48" s="329"/>
      <c r="F48" s="331" t="s">
        <v>65</v>
      </c>
      <c r="G48" s="320"/>
      <c r="H48" s="372" t="s">
        <v>66</v>
      </c>
      <c r="I48" s="373"/>
      <c r="J48" s="331" t="s">
        <v>67</v>
      </c>
      <c r="K48" s="332"/>
      <c r="L48" s="332"/>
      <c r="M48" s="332"/>
      <c r="N48" s="333"/>
      <c r="O48" s="32"/>
    </row>
    <row r="49" spans="1:14" ht="38.25" customHeight="1" thickBot="1" x14ac:dyDescent="0.25">
      <c r="A49" s="314" t="s">
        <v>132</v>
      </c>
      <c r="B49" s="374"/>
      <c r="C49" s="374"/>
      <c r="D49" s="374"/>
      <c r="E49" s="375"/>
      <c r="F49" s="376">
        <v>42278</v>
      </c>
      <c r="G49" s="377"/>
      <c r="H49" s="378" t="s">
        <v>158</v>
      </c>
      <c r="I49" s="371"/>
      <c r="J49" s="317" t="s">
        <v>159</v>
      </c>
      <c r="K49" s="379"/>
      <c r="L49" s="379"/>
      <c r="M49" s="379"/>
      <c r="N49" s="380"/>
    </row>
    <row r="50" spans="1:14" ht="38.25" customHeight="1" x14ac:dyDescent="0.2">
      <c r="A50" s="341" t="s">
        <v>133</v>
      </c>
      <c r="B50" s="342"/>
      <c r="C50" s="342"/>
      <c r="D50" s="342"/>
      <c r="E50" s="342"/>
      <c r="F50" s="368">
        <v>42156</v>
      </c>
      <c r="G50" s="369"/>
      <c r="H50" s="370" t="s">
        <v>160</v>
      </c>
      <c r="I50" s="371"/>
      <c r="J50" s="343" t="s">
        <v>134</v>
      </c>
      <c r="K50" s="312"/>
      <c r="L50" s="312"/>
      <c r="M50" s="312"/>
      <c r="N50" s="313"/>
    </row>
    <row r="53" spans="1:14" ht="13.5" thickBot="1" x14ac:dyDescent="0.25">
      <c r="A53" s="381"/>
      <c r="B53" s="335"/>
      <c r="C53" s="335"/>
      <c r="D53" s="335"/>
      <c r="E53" s="335"/>
      <c r="F53" s="336"/>
      <c r="G53" s="337"/>
      <c r="H53" s="382"/>
      <c r="I53" s="383"/>
      <c r="J53" s="384"/>
      <c r="K53" s="352"/>
      <c r="L53" s="352"/>
      <c r="M53" s="352"/>
      <c r="N53" s="385"/>
    </row>
    <row r="54" spans="1:14" ht="13.5" thickBot="1" x14ac:dyDescent="0.25">
      <c r="A54" s="50" t="s">
        <v>68</v>
      </c>
    </row>
    <row r="55" spans="1:14" ht="13.5" thickBot="1" x14ac:dyDescent="0.25">
      <c r="A55" s="328" t="s">
        <v>18</v>
      </c>
      <c r="B55" s="329"/>
      <c r="C55" s="329"/>
      <c r="D55" s="329"/>
      <c r="E55" s="329"/>
      <c r="F55" s="319" t="s">
        <v>19</v>
      </c>
      <c r="G55" s="320"/>
      <c r="H55" s="319" t="s">
        <v>20</v>
      </c>
      <c r="I55" s="329"/>
      <c r="J55" s="329"/>
      <c r="K55" s="329"/>
      <c r="L55" s="330"/>
    </row>
    <row r="56" spans="1:14" ht="13.5" customHeight="1" thickBot="1" x14ac:dyDescent="0.25">
      <c r="A56" s="341" t="s">
        <v>167</v>
      </c>
      <c r="B56" s="342"/>
      <c r="C56" s="342"/>
      <c r="D56" s="342"/>
      <c r="E56" s="342"/>
      <c r="F56" s="309">
        <v>42552</v>
      </c>
      <c r="G56" s="310"/>
      <c r="H56" s="311"/>
      <c r="I56" s="312"/>
      <c r="J56" s="312"/>
      <c r="K56" s="312"/>
      <c r="L56" s="313"/>
    </row>
    <row r="57" spans="1:14" ht="32.25" customHeight="1" x14ac:dyDescent="0.2">
      <c r="A57" s="341" t="s">
        <v>166</v>
      </c>
      <c r="B57" s="342"/>
      <c r="C57" s="342"/>
      <c r="D57" s="342"/>
      <c r="E57" s="342"/>
      <c r="F57" s="309">
        <v>42644</v>
      </c>
      <c r="G57" s="310"/>
      <c r="H57" s="343" t="s">
        <v>171</v>
      </c>
      <c r="I57" s="312"/>
      <c r="J57" s="312"/>
      <c r="K57" s="312"/>
      <c r="L57" s="313"/>
    </row>
  </sheetData>
  <mergeCells count="89">
    <mergeCell ref="A42:E42"/>
    <mergeCell ref="F42:G42"/>
    <mergeCell ref="A37:E37"/>
    <mergeCell ref="F37:G37"/>
    <mergeCell ref="H37:L37"/>
    <mergeCell ref="A38:E38"/>
    <mergeCell ref="F38:G38"/>
    <mergeCell ref="H38:L38"/>
    <mergeCell ref="H43:L43"/>
    <mergeCell ref="A44:E44"/>
    <mergeCell ref="F44:G44"/>
    <mergeCell ref="A43:E43"/>
    <mergeCell ref="F43:G43"/>
    <mergeCell ref="A57:E57"/>
    <mergeCell ref="F57:G57"/>
    <mergeCell ref="H57:L57"/>
    <mergeCell ref="A49:E49"/>
    <mergeCell ref="F49:G49"/>
    <mergeCell ref="H49:I49"/>
    <mergeCell ref="J49:N49"/>
    <mergeCell ref="F53:G53"/>
    <mergeCell ref="A50:E50"/>
    <mergeCell ref="A55:E55"/>
    <mergeCell ref="F55:G55"/>
    <mergeCell ref="H55:L55"/>
    <mergeCell ref="A53:E53"/>
    <mergeCell ref="H53:I53"/>
    <mergeCell ref="J53:N53"/>
    <mergeCell ref="A56:E56"/>
    <mergeCell ref="B13:F13"/>
    <mergeCell ref="B16:F16"/>
    <mergeCell ref="F50:G50"/>
    <mergeCell ref="B10:F10"/>
    <mergeCell ref="G10:K10"/>
    <mergeCell ref="G13:K13"/>
    <mergeCell ref="B11:F11"/>
    <mergeCell ref="G11:K11"/>
    <mergeCell ref="B12:F12"/>
    <mergeCell ref="H50:I50"/>
    <mergeCell ref="J50:N50"/>
    <mergeCell ref="H48:I48"/>
    <mergeCell ref="H42:L42"/>
    <mergeCell ref="B17:F17"/>
    <mergeCell ref="G17:K17"/>
    <mergeCell ref="A48:E48"/>
    <mergeCell ref="G8:K8"/>
    <mergeCell ref="B9:F9"/>
    <mergeCell ref="G9:K9"/>
    <mergeCell ref="B8:F8"/>
    <mergeCell ref="G12:K12"/>
    <mergeCell ref="B14:F14"/>
    <mergeCell ref="G14:K14"/>
    <mergeCell ref="B15:F15"/>
    <mergeCell ref="G15:K15"/>
    <mergeCell ref="F25:J25"/>
    <mergeCell ref="A25:E25"/>
    <mergeCell ref="F24:J24"/>
    <mergeCell ref="F23:J23"/>
    <mergeCell ref="A23:E23"/>
    <mergeCell ref="G16:K16"/>
    <mergeCell ref="A24:E24"/>
    <mergeCell ref="G19:K19"/>
    <mergeCell ref="B19:F19"/>
    <mergeCell ref="B18:F18"/>
    <mergeCell ref="G18:K18"/>
    <mergeCell ref="A28:E28"/>
    <mergeCell ref="F28:J28"/>
    <mergeCell ref="A30:E30"/>
    <mergeCell ref="F30:J30"/>
    <mergeCell ref="A31:E31"/>
    <mergeCell ref="F31:J31"/>
    <mergeCell ref="A29:E29"/>
    <mergeCell ref="F29:J29"/>
    <mergeCell ref="F56:G56"/>
    <mergeCell ref="H56:L56"/>
    <mergeCell ref="A32:E32"/>
    <mergeCell ref="F32:J32"/>
    <mergeCell ref="F35:G35"/>
    <mergeCell ref="A36:E36"/>
    <mergeCell ref="F36:G36"/>
    <mergeCell ref="H36:L36"/>
    <mergeCell ref="A35:E35"/>
    <mergeCell ref="H35:L35"/>
    <mergeCell ref="J48:N48"/>
    <mergeCell ref="F48:G48"/>
    <mergeCell ref="A45:E45"/>
    <mergeCell ref="F45:G45"/>
    <mergeCell ref="H45:L45"/>
    <mergeCell ref="H44:L44"/>
  </mergeCells>
  <phoneticPr fontId="0" type="noConversion"/>
  <pageMargins left="0.74803149606299213" right="0.74803149606299213" top="0.98425196850393704" bottom="0.98425196850393704" header="0.51181102362204722" footer="0.51181102362204722"/>
  <pageSetup scale="56" fitToHeight="3" orientation="portrait"/>
  <headerFooter alignWithMargins="0"/>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O58"/>
  <sheetViews>
    <sheetView topLeftCell="A32" zoomScale="80" zoomScaleNormal="80" zoomScalePageLayoutView="80" workbookViewId="0">
      <selection activeCell="F43" sqref="A43:G43"/>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71" t="s">
        <v>246</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c r="C9" s="362"/>
      <c r="D9" s="362"/>
      <c r="E9" s="362"/>
      <c r="F9" s="362"/>
      <c r="G9" s="363"/>
      <c r="H9" s="363"/>
      <c r="I9" s="363"/>
      <c r="J9" s="363"/>
      <c r="K9" s="364"/>
      <c r="N9" s="163"/>
    </row>
    <row r="10" spans="1:14" ht="217.5" customHeight="1" x14ac:dyDescent="0.2">
      <c r="A10" s="65" t="s">
        <v>52</v>
      </c>
      <c r="B10" s="346" t="s">
        <v>190</v>
      </c>
      <c r="C10" s="347"/>
      <c r="D10" s="347"/>
      <c r="E10" s="347"/>
      <c r="F10" s="347"/>
      <c r="G10" s="366"/>
      <c r="H10" s="366"/>
      <c r="I10" s="366"/>
      <c r="J10" s="366"/>
      <c r="K10" s="367"/>
    </row>
    <row r="11" spans="1:14" ht="143.25" customHeight="1" x14ac:dyDescent="0.2">
      <c r="A11" s="65" t="s">
        <v>48</v>
      </c>
      <c r="B11" s="346" t="s">
        <v>198</v>
      </c>
      <c r="C11" s="347"/>
      <c r="D11" s="347"/>
      <c r="E11" s="347"/>
      <c r="F11" s="347"/>
      <c r="G11" s="366" t="s">
        <v>199</v>
      </c>
      <c r="H11" s="366"/>
      <c r="I11" s="366"/>
      <c r="J11" s="366"/>
      <c r="K11" s="367"/>
    </row>
    <row r="12" spans="1:14" ht="194.25" customHeight="1" x14ac:dyDescent="0.2">
      <c r="A12" s="65" t="s">
        <v>60</v>
      </c>
      <c r="B12" s="346" t="s">
        <v>197</v>
      </c>
      <c r="C12" s="347"/>
      <c r="D12" s="347"/>
      <c r="E12" s="347"/>
      <c r="F12" s="347"/>
      <c r="G12" s="366"/>
      <c r="H12" s="366"/>
      <c r="I12" s="366"/>
      <c r="J12" s="366"/>
      <c r="K12" s="367"/>
    </row>
    <row r="13" spans="1:14" ht="243.75" customHeight="1" x14ac:dyDescent="0.2">
      <c r="A13" s="65" t="s">
        <v>59</v>
      </c>
      <c r="B13" s="346" t="s">
        <v>188</v>
      </c>
      <c r="C13" s="347"/>
      <c r="D13" s="347"/>
      <c r="E13" s="347"/>
      <c r="F13" s="347"/>
      <c r="G13" s="347" t="s">
        <v>187</v>
      </c>
      <c r="H13" s="347"/>
      <c r="I13" s="347"/>
      <c r="J13" s="347"/>
      <c r="K13" s="348"/>
    </row>
    <row r="14" spans="1:14" ht="129.75" customHeight="1" x14ac:dyDescent="0.2">
      <c r="A14" s="65" t="s">
        <v>74</v>
      </c>
      <c r="B14" s="346" t="s">
        <v>192</v>
      </c>
      <c r="C14" s="347"/>
      <c r="D14" s="347"/>
      <c r="E14" s="347"/>
      <c r="F14" s="347"/>
      <c r="G14" s="347"/>
      <c r="H14" s="347"/>
      <c r="I14" s="347"/>
      <c r="J14" s="347"/>
      <c r="K14" s="348"/>
    </row>
    <row r="15" spans="1:14" ht="134.25" customHeight="1" x14ac:dyDescent="0.2">
      <c r="A15" s="66" t="s">
        <v>70</v>
      </c>
      <c r="B15" s="346" t="s">
        <v>189</v>
      </c>
      <c r="C15" s="347"/>
      <c r="D15" s="347"/>
      <c r="E15" s="347"/>
      <c r="F15" s="347"/>
      <c r="G15" s="347" t="s">
        <v>196</v>
      </c>
      <c r="H15" s="347"/>
      <c r="I15" s="347"/>
      <c r="J15" s="347"/>
      <c r="K15" s="348"/>
    </row>
    <row r="16" spans="1:14" ht="212.25" customHeight="1" x14ac:dyDescent="0.2">
      <c r="A16" s="65" t="s">
        <v>1</v>
      </c>
      <c r="B16" s="346"/>
      <c r="C16" s="347"/>
      <c r="D16" s="347"/>
      <c r="E16" s="347"/>
      <c r="F16" s="347"/>
      <c r="G16" s="347"/>
      <c r="H16" s="347"/>
      <c r="I16" s="347"/>
      <c r="J16" s="347"/>
      <c r="K16" s="348"/>
    </row>
    <row r="17" spans="1:11" ht="158.25" customHeight="1" x14ac:dyDescent="0.2">
      <c r="A17" s="65" t="s">
        <v>51</v>
      </c>
      <c r="B17" s="346"/>
      <c r="C17" s="347"/>
      <c r="D17" s="347"/>
      <c r="E17" s="347"/>
      <c r="F17" s="347"/>
      <c r="G17" s="347" t="s">
        <v>193</v>
      </c>
      <c r="H17" s="347"/>
      <c r="I17" s="347"/>
      <c r="J17" s="347"/>
      <c r="K17" s="348"/>
    </row>
    <row r="18" spans="1:11" ht="146.25" customHeight="1" thickBot="1" x14ac:dyDescent="0.25">
      <c r="A18" s="67" t="s">
        <v>110</v>
      </c>
      <c r="B18" s="357"/>
      <c r="C18" s="355"/>
      <c r="D18" s="355"/>
      <c r="E18" s="355"/>
      <c r="F18" s="358"/>
      <c r="G18" s="354" t="s">
        <v>191</v>
      </c>
      <c r="H18" s="355"/>
      <c r="I18" s="355"/>
      <c r="J18" s="355"/>
      <c r="K18" s="356"/>
    </row>
    <row r="19" spans="1:11" ht="127.5" customHeight="1" thickBot="1" x14ac:dyDescent="0.25">
      <c r="A19" s="67" t="s">
        <v>111</v>
      </c>
      <c r="B19" s="357"/>
      <c r="C19" s="355"/>
      <c r="D19" s="355"/>
      <c r="E19" s="355"/>
      <c r="F19" s="358"/>
      <c r="G19" s="354" t="s">
        <v>194</v>
      </c>
      <c r="H19" s="355"/>
      <c r="I19" s="355"/>
      <c r="J19" s="355"/>
      <c r="K19" s="356"/>
    </row>
    <row r="20" spans="1:11" x14ac:dyDescent="0.2">
      <c r="A20" s="30" t="s">
        <v>15</v>
      </c>
      <c r="B20" s="30"/>
      <c r="C20" s="30"/>
      <c r="D20" s="30"/>
      <c r="E20" s="30"/>
      <c r="F20" s="30"/>
      <c r="G20" s="30"/>
      <c r="H20" s="30"/>
      <c r="I20" s="30"/>
      <c r="J20" s="30"/>
      <c r="K20" s="30"/>
    </row>
    <row r="21" spans="1:11" x14ac:dyDescent="0.2">
      <c r="A21" s="30"/>
      <c r="B21" s="30"/>
      <c r="C21" s="30"/>
      <c r="D21" s="30"/>
      <c r="E21" s="30"/>
      <c r="F21" s="30"/>
      <c r="G21" s="30"/>
      <c r="H21" s="30"/>
      <c r="I21" s="30"/>
      <c r="J21" s="30"/>
      <c r="K21" s="30"/>
    </row>
    <row r="22" spans="1:11" ht="13.5" thickBot="1" x14ac:dyDescent="0.25">
      <c r="A22" s="1" t="s">
        <v>13</v>
      </c>
    </row>
    <row r="23" spans="1:11" ht="13.5" thickBot="1" x14ac:dyDescent="0.25">
      <c r="A23" s="328" t="s">
        <v>14</v>
      </c>
      <c r="B23" s="329"/>
      <c r="C23" s="329"/>
      <c r="D23" s="329"/>
      <c r="E23" s="329"/>
      <c r="F23" s="329" t="s">
        <v>16</v>
      </c>
      <c r="G23" s="329"/>
      <c r="H23" s="329"/>
      <c r="I23" s="329"/>
      <c r="J23" s="330"/>
    </row>
    <row r="24" spans="1:11" ht="81" customHeight="1" thickBot="1" x14ac:dyDescent="0.25">
      <c r="A24" s="314" t="s">
        <v>135</v>
      </c>
      <c r="B24" s="315"/>
      <c r="C24" s="315"/>
      <c r="D24" s="315"/>
      <c r="E24" s="316"/>
      <c r="F24" s="317" t="s">
        <v>136</v>
      </c>
      <c r="G24" s="315"/>
      <c r="H24" s="315"/>
      <c r="I24" s="315"/>
      <c r="J24" s="318"/>
    </row>
    <row r="25" spans="1:11" ht="13.5" thickBot="1" x14ac:dyDescent="0.25">
      <c r="A25" s="351"/>
      <c r="B25" s="352"/>
      <c r="C25" s="352"/>
      <c r="D25" s="352"/>
      <c r="E25" s="353"/>
      <c r="F25" s="349"/>
      <c r="G25" s="349"/>
      <c r="H25" s="349"/>
      <c r="I25" s="349"/>
      <c r="J25" s="350"/>
    </row>
    <row r="27" spans="1:11" ht="13.5" thickBot="1" x14ac:dyDescent="0.25">
      <c r="A27" s="1" t="s">
        <v>43</v>
      </c>
    </row>
    <row r="28" spans="1:11" ht="13.5" thickBot="1" x14ac:dyDescent="0.25">
      <c r="A28" s="328" t="s">
        <v>14</v>
      </c>
      <c r="B28" s="329"/>
      <c r="C28" s="329"/>
      <c r="D28" s="329"/>
      <c r="E28" s="329"/>
      <c r="F28" s="329" t="s">
        <v>16</v>
      </c>
      <c r="G28" s="329"/>
      <c r="H28" s="329"/>
      <c r="I28" s="329"/>
      <c r="J28" s="330"/>
    </row>
    <row r="29" spans="1:11" ht="86.25" customHeight="1" thickBot="1" x14ac:dyDescent="0.25">
      <c r="A29" s="341" t="s">
        <v>157</v>
      </c>
      <c r="B29" s="342"/>
      <c r="C29" s="342"/>
      <c r="D29" s="342"/>
      <c r="E29" s="342"/>
      <c r="F29" s="343" t="s">
        <v>142</v>
      </c>
      <c r="G29" s="344"/>
      <c r="H29" s="344"/>
      <c r="I29" s="344"/>
      <c r="J29" s="345"/>
    </row>
    <row r="30" spans="1:11" ht="93" customHeight="1" thickBot="1" x14ac:dyDescent="0.25">
      <c r="A30" s="341" t="s">
        <v>144</v>
      </c>
      <c r="B30" s="342"/>
      <c r="C30" s="342"/>
      <c r="D30" s="342"/>
      <c r="E30" s="342"/>
      <c r="F30" s="343" t="s">
        <v>195</v>
      </c>
      <c r="G30" s="344"/>
      <c r="H30" s="344"/>
      <c r="I30" s="344"/>
      <c r="J30" s="345"/>
    </row>
    <row r="31" spans="1:11" ht="135" customHeight="1" thickBot="1" x14ac:dyDescent="0.25">
      <c r="A31" s="341" t="s">
        <v>141</v>
      </c>
      <c r="B31" s="342"/>
      <c r="C31" s="342"/>
      <c r="D31" s="342"/>
      <c r="E31" s="342"/>
      <c r="F31" s="343" t="s">
        <v>143</v>
      </c>
      <c r="G31" s="344"/>
      <c r="H31" s="344"/>
      <c r="I31" s="344"/>
      <c r="J31" s="345"/>
    </row>
    <row r="32" spans="1:11" ht="166.5" customHeight="1" thickBot="1" x14ac:dyDescent="0.25">
      <c r="A32" s="314" t="s">
        <v>130</v>
      </c>
      <c r="B32" s="315"/>
      <c r="C32" s="315"/>
      <c r="D32" s="315"/>
      <c r="E32" s="316"/>
      <c r="F32" s="317" t="s">
        <v>168</v>
      </c>
      <c r="G32" s="315"/>
      <c r="H32" s="315"/>
      <c r="I32" s="315"/>
      <c r="J32" s="318"/>
    </row>
    <row r="34" spans="1:15" ht="13.5" thickBot="1" x14ac:dyDescent="0.25">
      <c r="A34" s="1" t="s">
        <v>17</v>
      </c>
    </row>
    <row r="35" spans="1:15" ht="13.5" thickBot="1" x14ac:dyDescent="0.25">
      <c r="A35" s="328" t="s">
        <v>18</v>
      </c>
      <c r="B35" s="329"/>
      <c r="C35" s="329"/>
      <c r="D35" s="329"/>
      <c r="E35" s="329"/>
      <c r="F35" s="319" t="s">
        <v>19</v>
      </c>
      <c r="G35" s="320"/>
      <c r="H35" s="319" t="s">
        <v>20</v>
      </c>
      <c r="I35" s="329"/>
      <c r="J35" s="329"/>
      <c r="K35" s="329"/>
      <c r="L35" s="330"/>
    </row>
    <row r="36" spans="1:15" ht="42.75" customHeight="1" thickBot="1" x14ac:dyDescent="0.25">
      <c r="A36" s="321" t="s">
        <v>164</v>
      </c>
      <c r="B36" s="322"/>
      <c r="C36" s="322"/>
      <c r="D36" s="322"/>
      <c r="E36" s="322"/>
      <c r="F36" s="323" t="s">
        <v>165</v>
      </c>
      <c r="G36" s="324"/>
      <c r="H36" s="325" t="s">
        <v>200</v>
      </c>
      <c r="I36" s="326"/>
      <c r="J36" s="326"/>
      <c r="K36" s="326"/>
      <c r="L36" s="327"/>
    </row>
    <row r="37" spans="1:15" ht="42.75" customHeight="1" thickBot="1" x14ac:dyDescent="0.25">
      <c r="A37" s="321"/>
      <c r="B37" s="322"/>
      <c r="C37" s="322"/>
      <c r="D37" s="322"/>
      <c r="E37" s="322"/>
      <c r="F37" s="387"/>
      <c r="G37" s="324"/>
      <c r="H37" s="325"/>
      <c r="I37" s="326"/>
      <c r="J37" s="326"/>
      <c r="K37" s="326"/>
      <c r="L37" s="327"/>
    </row>
    <row r="38" spans="1:15" ht="42.75" customHeight="1" thickBot="1" x14ac:dyDescent="0.25">
      <c r="A38" s="386"/>
      <c r="B38" s="335"/>
      <c r="C38" s="335"/>
      <c r="D38" s="335"/>
      <c r="E38" s="335"/>
      <c r="F38" s="336"/>
      <c r="G38" s="337"/>
      <c r="H38" s="317"/>
      <c r="I38" s="379"/>
      <c r="J38" s="379"/>
      <c r="K38" s="379"/>
      <c r="L38" s="380"/>
    </row>
    <row r="39" spans="1:15" ht="12" customHeight="1" thickBot="1" x14ac:dyDescent="0.25">
      <c r="A39" s="58"/>
      <c r="B39" s="179"/>
      <c r="C39" s="179"/>
      <c r="D39" s="179"/>
      <c r="E39" s="180"/>
      <c r="F39" s="175"/>
      <c r="G39" s="176"/>
      <c r="H39" s="55"/>
      <c r="I39" s="177"/>
      <c r="J39" s="177"/>
      <c r="K39" s="177"/>
      <c r="L39" s="178"/>
    </row>
    <row r="40" spans="1:15" ht="24.75" customHeight="1" x14ac:dyDescent="0.2">
      <c r="O40" s="32"/>
    </row>
    <row r="41" spans="1:15" ht="24.75" customHeight="1" thickBot="1" x14ac:dyDescent="0.25">
      <c r="A41" s="1" t="s">
        <v>21</v>
      </c>
      <c r="O41" s="32"/>
    </row>
    <row r="42" spans="1:15" ht="24.75" customHeight="1" thickBot="1" x14ac:dyDescent="0.25">
      <c r="A42" s="328" t="s">
        <v>18</v>
      </c>
      <c r="B42" s="329"/>
      <c r="C42" s="329"/>
      <c r="D42" s="329"/>
      <c r="E42" s="329"/>
      <c r="F42" s="319" t="s">
        <v>19</v>
      </c>
      <c r="G42" s="320"/>
      <c r="H42" s="331" t="s">
        <v>69</v>
      </c>
      <c r="I42" s="332"/>
      <c r="J42" s="332"/>
      <c r="K42" s="332"/>
      <c r="L42" s="333"/>
      <c r="O42" s="32"/>
    </row>
    <row r="43" spans="1:15" ht="115.5" customHeight="1" thickBot="1" x14ac:dyDescent="0.25">
      <c r="A43" s="386" t="s">
        <v>127</v>
      </c>
      <c r="B43" s="335"/>
      <c r="C43" s="335"/>
      <c r="D43" s="335"/>
      <c r="E43" s="335"/>
      <c r="F43" s="388" t="s">
        <v>201</v>
      </c>
      <c r="G43" s="337"/>
      <c r="H43" s="317"/>
      <c r="I43" s="339"/>
      <c r="J43" s="339"/>
      <c r="K43" s="339"/>
      <c r="L43" s="340"/>
    </row>
    <row r="44" spans="1:15" ht="115.5" customHeight="1" thickBot="1" x14ac:dyDescent="0.25">
      <c r="A44" s="386"/>
      <c r="B44" s="335"/>
      <c r="C44" s="335"/>
      <c r="D44" s="335"/>
      <c r="E44" s="335"/>
      <c r="F44" s="336"/>
      <c r="G44" s="337"/>
      <c r="H44" s="317"/>
      <c r="I44" s="339"/>
      <c r="J44" s="339"/>
      <c r="K44" s="339"/>
      <c r="L44" s="340"/>
    </row>
    <row r="45" spans="1:15" ht="115.5" customHeight="1" thickBot="1" x14ac:dyDescent="0.25">
      <c r="A45" s="334"/>
      <c r="B45" s="335"/>
      <c r="C45" s="335"/>
      <c r="D45" s="335"/>
      <c r="E45" s="335"/>
      <c r="F45" s="336"/>
      <c r="G45" s="337"/>
      <c r="H45" s="338"/>
      <c r="I45" s="339"/>
      <c r="J45" s="339"/>
      <c r="K45" s="339"/>
      <c r="L45" s="340"/>
    </row>
    <row r="47" spans="1:15" ht="24.75" customHeight="1" thickBot="1" x14ac:dyDescent="0.25">
      <c r="A47" s="50" t="s">
        <v>64</v>
      </c>
      <c r="O47" s="32"/>
    </row>
    <row r="48" spans="1:15" ht="24.75" customHeight="1" thickBot="1" x14ac:dyDescent="0.25">
      <c r="A48" s="328" t="s">
        <v>18</v>
      </c>
      <c r="B48" s="329"/>
      <c r="C48" s="329"/>
      <c r="D48" s="329"/>
      <c r="E48" s="329"/>
      <c r="F48" s="331" t="s">
        <v>65</v>
      </c>
      <c r="G48" s="320"/>
      <c r="H48" s="372" t="s">
        <v>66</v>
      </c>
      <c r="I48" s="373"/>
      <c r="J48" s="331" t="s">
        <v>67</v>
      </c>
      <c r="K48" s="332"/>
      <c r="L48" s="332"/>
      <c r="M48" s="332"/>
      <c r="N48" s="333"/>
      <c r="O48" s="32"/>
    </row>
    <row r="49" spans="1:14" ht="38.25" customHeight="1" thickBot="1" x14ac:dyDescent="0.25">
      <c r="A49" s="314" t="s">
        <v>132</v>
      </c>
      <c r="B49" s="374"/>
      <c r="C49" s="374"/>
      <c r="D49" s="374"/>
      <c r="E49" s="375"/>
      <c r="F49" s="376">
        <v>42278</v>
      </c>
      <c r="G49" s="377"/>
      <c r="H49" s="378" t="s">
        <v>158</v>
      </c>
      <c r="I49" s="371"/>
      <c r="J49" s="317" t="s">
        <v>159</v>
      </c>
      <c r="K49" s="379"/>
      <c r="L49" s="379"/>
      <c r="M49" s="379"/>
      <c r="N49" s="380"/>
    </row>
    <row r="50" spans="1:14" ht="38.25" customHeight="1" x14ac:dyDescent="0.2">
      <c r="A50" s="341" t="s">
        <v>133</v>
      </c>
      <c r="B50" s="342"/>
      <c r="C50" s="342"/>
      <c r="D50" s="342"/>
      <c r="E50" s="342"/>
      <c r="F50" s="368">
        <v>42156</v>
      </c>
      <c r="G50" s="369"/>
      <c r="H50" s="370" t="s">
        <v>160</v>
      </c>
      <c r="I50" s="371"/>
      <c r="J50" s="343" t="s">
        <v>134</v>
      </c>
      <c r="K50" s="312"/>
      <c r="L50" s="312"/>
      <c r="M50" s="312"/>
      <c r="N50" s="313"/>
    </row>
    <row r="53" spans="1:14" ht="13.5" thickBot="1" x14ac:dyDescent="0.25">
      <c r="A53" s="381"/>
      <c r="B53" s="335"/>
      <c r="C53" s="335"/>
      <c r="D53" s="335"/>
      <c r="E53" s="335"/>
      <c r="F53" s="336"/>
      <c r="G53" s="337"/>
      <c r="H53" s="382"/>
      <c r="I53" s="383"/>
      <c r="J53" s="384"/>
      <c r="K53" s="352"/>
      <c r="L53" s="352"/>
      <c r="M53" s="352"/>
      <c r="N53" s="385"/>
    </row>
    <row r="54" spans="1:14" ht="13.5" thickBot="1" x14ac:dyDescent="0.25">
      <c r="A54" s="50" t="s">
        <v>68</v>
      </c>
    </row>
    <row r="55" spans="1:14" ht="13.5" thickBot="1" x14ac:dyDescent="0.25">
      <c r="A55" s="328" t="s">
        <v>18</v>
      </c>
      <c r="B55" s="329"/>
      <c r="C55" s="329"/>
      <c r="D55" s="329"/>
      <c r="E55" s="329"/>
      <c r="F55" s="319" t="s">
        <v>19</v>
      </c>
      <c r="G55" s="320"/>
      <c r="H55" s="319" t="s">
        <v>20</v>
      </c>
      <c r="I55" s="329"/>
      <c r="J55" s="329"/>
      <c r="K55" s="329"/>
      <c r="L55" s="330"/>
    </row>
    <row r="56" spans="1:14" ht="13.5" customHeight="1" thickBot="1" x14ac:dyDescent="0.25">
      <c r="A56" s="341" t="s">
        <v>167</v>
      </c>
      <c r="B56" s="342"/>
      <c r="C56" s="342"/>
      <c r="D56" s="342"/>
      <c r="E56" s="342"/>
      <c r="F56" s="309">
        <v>42552</v>
      </c>
      <c r="G56" s="310"/>
      <c r="H56" s="311"/>
      <c r="I56" s="312"/>
      <c r="J56" s="312"/>
      <c r="K56" s="312"/>
      <c r="L56" s="313"/>
    </row>
    <row r="57" spans="1:14" ht="32.25" customHeight="1" thickBot="1" x14ac:dyDescent="0.25">
      <c r="A57" s="341" t="s">
        <v>166</v>
      </c>
      <c r="B57" s="342"/>
      <c r="C57" s="342"/>
      <c r="D57" s="342"/>
      <c r="E57" s="342"/>
      <c r="F57" s="309">
        <v>42644</v>
      </c>
      <c r="G57" s="310"/>
      <c r="H57" s="343" t="s">
        <v>171</v>
      </c>
      <c r="I57" s="312"/>
      <c r="J57" s="312"/>
      <c r="K57" s="312"/>
      <c r="L57" s="313"/>
    </row>
    <row r="58" spans="1:14" x14ac:dyDescent="0.2">
      <c r="A58" s="341" t="s">
        <v>126</v>
      </c>
      <c r="B58" s="342"/>
      <c r="C58" s="342"/>
      <c r="D58" s="342"/>
      <c r="E58" s="342"/>
      <c r="F58" s="309">
        <v>42795</v>
      </c>
      <c r="G58" s="310"/>
      <c r="H58" s="343"/>
      <c r="I58" s="312"/>
      <c r="J58" s="312"/>
      <c r="K58" s="312"/>
      <c r="L58" s="313"/>
    </row>
  </sheetData>
  <mergeCells count="92">
    <mergeCell ref="A56:E56"/>
    <mergeCell ref="F56:G56"/>
    <mergeCell ref="H56:L56"/>
    <mergeCell ref="A57:E57"/>
    <mergeCell ref="F57:G57"/>
    <mergeCell ref="H57:L57"/>
    <mergeCell ref="A53:E53"/>
    <mergeCell ref="F53:G53"/>
    <mergeCell ref="H53:I53"/>
    <mergeCell ref="J53:N53"/>
    <mergeCell ref="A55:E55"/>
    <mergeCell ref="F55:G55"/>
    <mergeCell ref="H55:L55"/>
    <mergeCell ref="A49:E49"/>
    <mergeCell ref="F49:G49"/>
    <mergeCell ref="H49:I49"/>
    <mergeCell ref="J49:N49"/>
    <mergeCell ref="A50:E50"/>
    <mergeCell ref="F50:G50"/>
    <mergeCell ref="H50:I50"/>
    <mergeCell ref="J50:N50"/>
    <mergeCell ref="A45:E45"/>
    <mergeCell ref="F45:G45"/>
    <mergeCell ref="H45:L45"/>
    <mergeCell ref="A48:E48"/>
    <mergeCell ref="F48:G48"/>
    <mergeCell ref="H48:I48"/>
    <mergeCell ref="J48:N48"/>
    <mergeCell ref="A43:E43"/>
    <mergeCell ref="F43:G43"/>
    <mergeCell ref="H43:L43"/>
    <mergeCell ref="A44:E44"/>
    <mergeCell ref="F44:G44"/>
    <mergeCell ref="H44:L44"/>
    <mergeCell ref="A38:E38"/>
    <mergeCell ref="F38:G38"/>
    <mergeCell ref="H38:L38"/>
    <mergeCell ref="A42:E42"/>
    <mergeCell ref="F42:G42"/>
    <mergeCell ref="H42:L42"/>
    <mergeCell ref="A36:E36"/>
    <mergeCell ref="F36:G36"/>
    <mergeCell ref="H36:L36"/>
    <mergeCell ref="A37:E37"/>
    <mergeCell ref="F37:G37"/>
    <mergeCell ref="H37:L37"/>
    <mergeCell ref="A31:E31"/>
    <mergeCell ref="F31:J31"/>
    <mergeCell ref="A32:E32"/>
    <mergeCell ref="F32:J32"/>
    <mergeCell ref="A35:E35"/>
    <mergeCell ref="F35:G35"/>
    <mergeCell ref="H35:L35"/>
    <mergeCell ref="A28:E28"/>
    <mergeCell ref="F28:J28"/>
    <mergeCell ref="A29:E29"/>
    <mergeCell ref="F29:J29"/>
    <mergeCell ref="A30:E30"/>
    <mergeCell ref="F30:J30"/>
    <mergeCell ref="A23:E23"/>
    <mergeCell ref="F23:J23"/>
    <mergeCell ref="A24:E24"/>
    <mergeCell ref="F24:J24"/>
    <mergeCell ref="A25:E25"/>
    <mergeCell ref="F25:J25"/>
    <mergeCell ref="B17:F17"/>
    <mergeCell ref="G17:K17"/>
    <mergeCell ref="B18:F18"/>
    <mergeCell ref="G18:K18"/>
    <mergeCell ref="B19:F19"/>
    <mergeCell ref="G19:K19"/>
    <mergeCell ref="G14:K14"/>
    <mergeCell ref="B15:F15"/>
    <mergeCell ref="G15:K15"/>
    <mergeCell ref="B16:F16"/>
    <mergeCell ref="G16:K16"/>
    <mergeCell ref="A58:E58"/>
    <mergeCell ref="F58:G58"/>
    <mergeCell ref="H58:L58"/>
    <mergeCell ref="B8:F8"/>
    <mergeCell ref="G8:K8"/>
    <mergeCell ref="B9:F9"/>
    <mergeCell ref="G9:K9"/>
    <mergeCell ref="B10:F10"/>
    <mergeCell ref="G10:K10"/>
    <mergeCell ref="B11:F11"/>
    <mergeCell ref="G11:K11"/>
    <mergeCell ref="B12:F12"/>
    <mergeCell ref="G12:K12"/>
    <mergeCell ref="B13:F13"/>
    <mergeCell ref="G13:K13"/>
    <mergeCell ref="B14:F14"/>
  </mergeCells>
  <pageMargins left="0.74803149606299213" right="0.74803149606299213" top="0.98425196850393704" bottom="0.98425196850393704" header="0.51181102362204722" footer="0.51181102362204722"/>
  <pageSetup scale="56" fitToHeight="3" orientation="portrait"/>
  <headerFooter alignWithMargins="0"/>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57"/>
  <sheetViews>
    <sheetView zoomScale="80" zoomScaleNormal="80" zoomScalePageLayoutView="80"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t="s">
        <v>285</v>
      </c>
      <c r="C9" s="362"/>
      <c r="D9" s="362"/>
      <c r="E9" s="362"/>
      <c r="F9" s="362"/>
      <c r="G9" s="363" t="s">
        <v>275</v>
      </c>
      <c r="H9" s="363"/>
      <c r="I9" s="363"/>
      <c r="J9" s="363"/>
      <c r="K9" s="364"/>
      <c r="N9" s="163"/>
    </row>
    <row r="10" spans="1:14" ht="217.5" customHeight="1" x14ac:dyDescent="0.2">
      <c r="A10" s="65" t="s">
        <v>52</v>
      </c>
      <c r="B10" s="346" t="s">
        <v>190</v>
      </c>
      <c r="C10" s="347"/>
      <c r="D10" s="347"/>
      <c r="E10" s="347"/>
      <c r="F10" s="347"/>
      <c r="G10" s="366"/>
      <c r="H10" s="366"/>
      <c r="I10" s="366"/>
      <c r="J10" s="366"/>
      <c r="K10" s="367"/>
    </row>
    <row r="11" spans="1:14" ht="143.25" customHeight="1" x14ac:dyDescent="0.2">
      <c r="A11" s="65" t="s">
        <v>48</v>
      </c>
      <c r="B11" s="346" t="s">
        <v>278</v>
      </c>
      <c r="C11" s="347"/>
      <c r="D11" s="347"/>
      <c r="E11" s="347"/>
      <c r="F11" s="347"/>
      <c r="G11" s="366" t="s">
        <v>276</v>
      </c>
      <c r="H11" s="366"/>
      <c r="I11" s="366"/>
      <c r="J11" s="366"/>
      <c r="K11" s="367"/>
    </row>
    <row r="12" spans="1:14" ht="194.25" customHeight="1" x14ac:dyDescent="0.2">
      <c r="A12" s="65" t="s">
        <v>60</v>
      </c>
      <c r="B12" s="346" t="s">
        <v>279</v>
      </c>
      <c r="C12" s="347"/>
      <c r="D12" s="347"/>
      <c r="E12" s="347"/>
      <c r="F12" s="347"/>
      <c r="G12" s="366"/>
      <c r="H12" s="366"/>
      <c r="I12" s="366"/>
      <c r="J12" s="366"/>
      <c r="K12" s="367"/>
    </row>
    <row r="13" spans="1:14" ht="243.75" customHeight="1" x14ac:dyDescent="0.2">
      <c r="A13" s="65" t="s">
        <v>59</v>
      </c>
      <c r="B13" s="346"/>
      <c r="C13" s="347"/>
      <c r="D13" s="347"/>
      <c r="E13" s="347"/>
      <c r="F13" s="347"/>
      <c r="G13" s="347"/>
      <c r="H13" s="347"/>
      <c r="I13" s="347"/>
      <c r="J13" s="347"/>
      <c r="K13" s="348"/>
    </row>
    <row r="14" spans="1:14" ht="129.75" customHeight="1" x14ac:dyDescent="0.2">
      <c r="A14" s="65" t="s">
        <v>74</v>
      </c>
      <c r="B14" s="346" t="s">
        <v>282</v>
      </c>
      <c r="C14" s="347"/>
      <c r="D14" s="347"/>
      <c r="E14" s="347"/>
      <c r="F14" s="347"/>
      <c r="G14" s="347"/>
      <c r="H14" s="347"/>
      <c r="I14" s="347"/>
      <c r="J14" s="347"/>
      <c r="K14" s="348"/>
    </row>
    <row r="15" spans="1:14" ht="134.25" customHeight="1" x14ac:dyDescent="0.2">
      <c r="A15" s="66" t="s">
        <v>70</v>
      </c>
      <c r="B15" s="346" t="s">
        <v>280</v>
      </c>
      <c r="C15" s="347"/>
      <c r="D15" s="347"/>
      <c r="E15" s="347"/>
      <c r="F15" s="347"/>
      <c r="G15" s="347"/>
      <c r="H15" s="347"/>
      <c r="I15" s="347"/>
      <c r="J15" s="347"/>
      <c r="K15" s="348"/>
    </row>
    <row r="16" spans="1:14" ht="212.25" customHeight="1" x14ac:dyDescent="0.2">
      <c r="A16" s="65" t="s">
        <v>1</v>
      </c>
      <c r="B16" s="346"/>
      <c r="C16" s="347"/>
      <c r="D16" s="347"/>
      <c r="E16" s="347"/>
      <c r="F16" s="347"/>
      <c r="G16" s="347" t="s">
        <v>277</v>
      </c>
      <c r="H16" s="347"/>
      <c r="I16" s="347"/>
      <c r="J16" s="347"/>
      <c r="K16" s="348"/>
    </row>
    <row r="17" spans="1:11" ht="158.25" customHeight="1" x14ac:dyDescent="0.2">
      <c r="A17" s="65" t="s">
        <v>51</v>
      </c>
      <c r="B17" s="346" t="s">
        <v>284</v>
      </c>
      <c r="C17" s="347"/>
      <c r="D17" s="347"/>
      <c r="E17" s="347"/>
      <c r="F17" s="347"/>
      <c r="G17" s="347" t="s">
        <v>281</v>
      </c>
      <c r="H17" s="347"/>
      <c r="I17" s="347"/>
      <c r="J17" s="347"/>
      <c r="K17" s="348"/>
    </row>
    <row r="18" spans="1:11" ht="146.25" customHeight="1" thickBot="1" x14ac:dyDescent="0.25">
      <c r="A18" s="67" t="s">
        <v>110</v>
      </c>
      <c r="B18" s="357" t="s">
        <v>283</v>
      </c>
      <c r="C18" s="355"/>
      <c r="D18" s="355"/>
      <c r="E18" s="355"/>
      <c r="F18" s="358"/>
      <c r="G18" s="354"/>
      <c r="H18" s="355"/>
      <c r="I18" s="355"/>
      <c r="J18" s="355"/>
      <c r="K18" s="356"/>
    </row>
    <row r="19" spans="1:11" ht="146.25" customHeight="1" thickBot="1" x14ac:dyDescent="0.25">
      <c r="A19" s="67" t="s">
        <v>111</v>
      </c>
      <c r="B19" s="195"/>
      <c r="C19" s="193"/>
      <c r="D19" s="193"/>
      <c r="E19" s="193"/>
      <c r="F19" s="196"/>
      <c r="G19" s="192"/>
      <c r="H19" s="193"/>
      <c r="I19" s="193"/>
      <c r="J19" s="193"/>
      <c r="K19" s="194"/>
    </row>
    <row r="20" spans="1:11" ht="146.25" customHeight="1" thickBot="1" x14ac:dyDescent="0.25">
      <c r="A20" s="67" t="s">
        <v>273</v>
      </c>
      <c r="B20" s="398" t="s">
        <v>303</v>
      </c>
      <c r="C20" s="399"/>
      <c r="D20" s="399"/>
      <c r="E20" s="399"/>
      <c r="F20" s="400"/>
      <c r="G20" s="401" t="s">
        <v>304</v>
      </c>
      <c r="H20" s="399"/>
      <c r="I20" s="399"/>
      <c r="J20" s="399"/>
      <c r="K20" s="402"/>
    </row>
    <row r="21" spans="1:11" ht="127.5" customHeight="1" thickBot="1" x14ac:dyDescent="0.25">
      <c r="A21" s="67" t="s">
        <v>274</v>
      </c>
      <c r="B21" s="357" t="s">
        <v>302</v>
      </c>
      <c r="C21" s="355"/>
      <c r="D21" s="355"/>
      <c r="E21" s="355"/>
      <c r="F21" s="358"/>
      <c r="G21" s="354"/>
      <c r="H21" s="355"/>
      <c r="I21" s="355"/>
      <c r="J21" s="355"/>
      <c r="K21" s="356"/>
    </row>
    <row r="22" spans="1:11" x14ac:dyDescent="0.2">
      <c r="A22" s="30" t="s">
        <v>15</v>
      </c>
      <c r="B22" s="30"/>
      <c r="C22" s="30"/>
      <c r="D22" s="30"/>
      <c r="E22" s="30"/>
      <c r="F22" s="30"/>
      <c r="G22" s="30"/>
      <c r="H22" s="30"/>
      <c r="I22" s="30"/>
      <c r="J22" s="30"/>
      <c r="K22" s="30"/>
    </row>
    <row r="23" spans="1:11" x14ac:dyDescent="0.2">
      <c r="A23" s="30"/>
      <c r="B23" s="30"/>
      <c r="C23" s="30"/>
      <c r="D23" s="30"/>
      <c r="E23" s="30"/>
      <c r="F23" s="30"/>
      <c r="G23" s="30"/>
      <c r="H23" s="30"/>
      <c r="I23" s="30"/>
      <c r="J23" s="30"/>
      <c r="K23" s="30"/>
    </row>
    <row r="24" spans="1:11" ht="13.5" thickBot="1" x14ac:dyDescent="0.25">
      <c r="A24" s="1" t="s">
        <v>13</v>
      </c>
    </row>
    <row r="25" spans="1:11" ht="13.5" thickBot="1" x14ac:dyDescent="0.25">
      <c r="A25" s="328" t="s">
        <v>14</v>
      </c>
      <c r="B25" s="329"/>
      <c r="C25" s="329"/>
      <c r="D25" s="329"/>
      <c r="E25" s="329"/>
      <c r="F25" s="329" t="s">
        <v>16</v>
      </c>
      <c r="G25" s="329"/>
      <c r="H25" s="329"/>
      <c r="I25" s="329"/>
      <c r="J25" s="330"/>
    </row>
    <row r="26" spans="1:11" ht="81" customHeight="1" thickBot="1" x14ac:dyDescent="0.25">
      <c r="A26" s="314" t="s">
        <v>135</v>
      </c>
      <c r="B26" s="315"/>
      <c r="C26" s="315"/>
      <c r="D26" s="315"/>
      <c r="E26" s="316"/>
      <c r="F26" s="317" t="s">
        <v>136</v>
      </c>
      <c r="G26" s="315"/>
      <c r="H26" s="315"/>
      <c r="I26" s="315"/>
      <c r="J26" s="318"/>
    </row>
    <row r="27" spans="1:11" ht="13.5" thickBot="1" x14ac:dyDescent="0.25">
      <c r="A27" s="351"/>
      <c r="B27" s="352"/>
      <c r="C27" s="352"/>
      <c r="D27" s="352"/>
      <c r="E27" s="353"/>
      <c r="F27" s="349"/>
      <c r="G27" s="349"/>
      <c r="H27" s="349"/>
      <c r="I27" s="349"/>
      <c r="J27" s="350"/>
    </row>
    <row r="29" spans="1:11" ht="13.5" thickBot="1" x14ac:dyDescent="0.25">
      <c r="A29" s="1" t="s">
        <v>43</v>
      </c>
    </row>
    <row r="30" spans="1:11" ht="13.5" thickBot="1" x14ac:dyDescent="0.25">
      <c r="A30" s="328" t="s">
        <v>14</v>
      </c>
      <c r="B30" s="329"/>
      <c r="C30" s="329"/>
      <c r="D30" s="329"/>
      <c r="E30" s="329"/>
      <c r="F30" s="329" t="s">
        <v>16</v>
      </c>
      <c r="G30" s="329"/>
      <c r="H30" s="329"/>
      <c r="I30" s="329"/>
      <c r="J30" s="330"/>
    </row>
    <row r="31" spans="1:11" ht="57" customHeight="1" thickBot="1" x14ac:dyDescent="0.25">
      <c r="A31" s="403" t="s">
        <v>292</v>
      </c>
      <c r="B31" s="404"/>
      <c r="C31" s="404"/>
      <c r="D31" s="404"/>
      <c r="E31" s="404"/>
      <c r="F31" s="404" t="s">
        <v>293</v>
      </c>
      <c r="G31" s="404"/>
      <c r="H31" s="404"/>
      <c r="I31" s="404"/>
      <c r="J31" s="405"/>
    </row>
    <row r="32" spans="1:11" ht="86.25" customHeight="1" thickBot="1" x14ac:dyDescent="0.25">
      <c r="A32" s="341" t="s">
        <v>157</v>
      </c>
      <c r="B32" s="342"/>
      <c r="C32" s="342"/>
      <c r="D32" s="342"/>
      <c r="E32" s="342"/>
      <c r="F32" s="343" t="s">
        <v>142</v>
      </c>
      <c r="G32" s="344"/>
      <c r="H32" s="344"/>
      <c r="I32" s="344"/>
      <c r="J32" s="345"/>
    </row>
    <row r="33" spans="1:15" ht="93" customHeight="1" thickBot="1" x14ac:dyDescent="0.25">
      <c r="A33" s="341" t="s">
        <v>144</v>
      </c>
      <c r="B33" s="342"/>
      <c r="C33" s="342"/>
      <c r="D33" s="342"/>
      <c r="E33" s="342"/>
      <c r="F33" s="343" t="s">
        <v>195</v>
      </c>
      <c r="G33" s="344"/>
      <c r="H33" s="344"/>
      <c r="I33" s="344"/>
      <c r="J33" s="345"/>
    </row>
    <row r="34" spans="1:15" ht="135" customHeight="1" thickBot="1" x14ac:dyDescent="0.25">
      <c r="A34" s="341" t="s">
        <v>141</v>
      </c>
      <c r="B34" s="342"/>
      <c r="C34" s="342"/>
      <c r="D34" s="342"/>
      <c r="E34" s="342"/>
      <c r="F34" s="343" t="s">
        <v>143</v>
      </c>
      <c r="G34" s="344"/>
      <c r="H34" s="344"/>
      <c r="I34" s="344"/>
      <c r="J34" s="345"/>
    </row>
    <row r="35" spans="1:15" ht="166.5" customHeight="1" thickBot="1" x14ac:dyDescent="0.25">
      <c r="A35" s="314" t="s">
        <v>286</v>
      </c>
      <c r="B35" s="315"/>
      <c r="C35" s="315"/>
      <c r="D35" s="315"/>
      <c r="E35" s="316"/>
      <c r="F35" s="317" t="s">
        <v>287</v>
      </c>
      <c r="G35" s="315"/>
      <c r="H35" s="315"/>
      <c r="I35" s="315"/>
      <c r="J35" s="318"/>
    </row>
    <row r="37" spans="1:15" ht="13.5" thickBot="1" x14ac:dyDescent="0.25">
      <c r="A37" s="1" t="s">
        <v>17</v>
      </c>
    </row>
    <row r="38" spans="1:15" ht="13.5" thickBot="1" x14ac:dyDescent="0.25">
      <c r="A38" s="328" t="s">
        <v>18</v>
      </c>
      <c r="B38" s="329"/>
      <c r="C38" s="329"/>
      <c r="D38" s="329"/>
      <c r="E38" s="329"/>
      <c r="F38" s="319" t="s">
        <v>19</v>
      </c>
      <c r="G38" s="320"/>
      <c r="H38" s="319" t="s">
        <v>20</v>
      </c>
      <c r="I38" s="329"/>
      <c r="J38" s="329"/>
      <c r="K38" s="329"/>
      <c r="L38" s="330"/>
    </row>
    <row r="39" spans="1:15" ht="42.75" customHeight="1" thickBot="1" x14ac:dyDescent="0.25">
      <c r="A39" s="386"/>
      <c r="B39" s="335"/>
      <c r="C39" s="335"/>
      <c r="D39" s="335"/>
      <c r="E39" s="335"/>
      <c r="F39" s="388"/>
      <c r="G39" s="337"/>
      <c r="H39" s="317"/>
      <c r="I39" s="339"/>
      <c r="J39" s="339"/>
      <c r="K39" s="339"/>
      <c r="L39" s="340"/>
    </row>
    <row r="40" spans="1:15" ht="42.75" customHeight="1" thickBot="1" x14ac:dyDescent="0.25">
      <c r="A40" s="386"/>
      <c r="B40" s="335"/>
      <c r="C40" s="335"/>
      <c r="D40" s="335"/>
      <c r="E40" s="335"/>
      <c r="F40" s="336"/>
      <c r="G40" s="337"/>
      <c r="H40" s="317"/>
      <c r="I40" s="379"/>
      <c r="J40" s="379"/>
      <c r="K40" s="379"/>
      <c r="L40" s="380"/>
    </row>
    <row r="41" spans="1:15" ht="12" customHeight="1" thickBot="1" x14ac:dyDescent="0.25">
      <c r="A41" s="58"/>
      <c r="B41" s="190"/>
      <c r="C41" s="190"/>
      <c r="D41" s="190"/>
      <c r="E41" s="191"/>
      <c r="F41" s="186"/>
      <c r="G41" s="187"/>
      <c r="H41" s="55"/>
      <c r="I41" s="188"/>
      <c r="J41" s="188"/>
      <c r="K41" s="188"/>
      <c r="L41" s="189"/>
    </row>
    <row r="42" spans="1:15" ht="24.75" customHeight="1" x14ac:dyDescent="0.2">
      <c r="O42" s="32"/>
    </row>
    <row r="43" spans="1:15" ht="24.75" customHeight="1" thickBot="1" x14ac:dyDescent="0.25">
      <c r="A43" s="1" t="s">
        <v>21</v>
      </c>
      <c r="O43" s="32"/>
    </row>
    <row r="44" spans="1:15" ht="24.75" customHeight="1" thickBot="1" x14ac:dyDescent="0.25">
      <c r="A44" s="328" t="s">
        <v>18</v>
      </c>
      <c r="B44" s="329"/>
      <c r="C44" s="329"/>
      <c r="D44" s="329"/>
      <c r="E44" s="329"/>
      <c r="F44" s="319" t="s">
        <v>19</v>
      </c>
      <c r="G44" s="320"/>
      <c r="H44" s="331" t="s">
        <v>69</v>
      </c>
      <c r="I44" s="332"/>
      <c r="J44" s="332"/>
      <c r="K44" s="332"/>
      <c r="L44" s="333"/>
      <c r="O44" s="32"/>
    </row>
    <row r="45" spans="1:15" ht="115.5" customHeight="1" thickBot="1" x14ac:dyDescent="0.25">
      <c r="A45" s="413" t="s">
        <v>296</v>
      </c>
      <c r="B45" s="414"/>
      <c r="C45" s="414"/>
      <c r="D45" s="414"/>
      <c r="E45" s="414"/>
      <c r="F45" s="415" t="s">
        <v>290</v>
      </c>
      <c r="G45" s="416"/>
      <c r="H45" s="417" t="s">
        <v>291</v>
      </c>
      <c r="I45" s="414"/>
      <c r="J45" s="414"/>
      <c r="K45" s="414"/>
      <c r="L45" s="418"/>
    </row>
    <row r="46" spans="1:15" ht="115.5" customHeight="1" thickBot="1" x14ac:dyDescent="0.25">
      <c r="A46" s="406"/>
      <c r="B46" s="407"/>
      <c r="C46" s="407"/>
      <c r="D46" s="407"/>
      <c r="E46" s="407"/>
      <c r="F46" s="408"/>
      <c r="G46" s="409"/>
      <c r="H46" s="410"/>
      <c r="I46" s="411"/>
      <c r="J46" s="411"/>
      <c r="K46" s="411"/>
      <c r="L46" s="412"/>
    </row>
    <row r="47" spans="1:15" ht="115.5" customHeight="1" thickBot="1" x14ac:dyDescent="0.25">
      <c r="A47" s="334"/>
      <c r="B47" s="335"/>
      <c r="C47" s="335"/>
      <c r="D47" s="335"/>
      <c r="E47" s="335"/>
      <c r="F47" s="336"/>
      <c r="G47" s="337"/>
      <c r="H47" s="338"/>
      <c r="I47" s="339"/>
      <c r="J47" s="339"/>
      <c r="K47" s="339"/>
      <c r="L47" s="340"/>
    </row>
    <row r="49" spans="1:15" ht="24.75" customHeight="1" thickBot="1" x14ac:dyDescent="0.25">
      <c r="A49" s="50" t="s">
        <v>64</v>
      </c>
      <c r="O49" s="32"/>
    </row>
    <row r="50" spans="1:15" ht="24.75" customHeight="1" thickBot="1" x14ac:dyDescent="0.25">
      <c r="A50" s="365" t="s">
        <v>18</v>
      </c>
      <c r="B50" s="359"/>
      <c r="C50" s="359"/>
      <c r="D50" s="359"/>
      <c r="E50" s="359"/>
      <c r="F50" s="419" t="s">
        <v>65</v>
      </c>
      <c r="G50" s="420"/>
      <c r="H50" s="421" t="s">
        <v>66</v>
      </c>
      <c r="I50" s="422"/>
      <c r="J50" s="419" t="s">
        <v>67</v>
      </c>
      <c r="K50" s="423"/>
      <c r="L50" s="423"/>
      <c r="M50" s="423"/>
      <c r="N50" s="424"/>
      <c r="O50" s="32"/>
    </row>
    <row r="51" spans="1:15" ht="66.75" customHeight="1" thickBot="1" x14ac:dyDescent="0.25">
      <c r="A51" s="389" t="s">
        <v>295</v>
      </c>
      <c r="B51" s="390"/>
      <c r="C51" s="390"/>
      <c r="D51" s="390"/>
      <c r="E51" s="390"/>
      <c r="F51" s="391" t="s">
        <v>165</v>
      </c>
      <c r="G51" s="392"/>
      <c r="H51" s="393" t="s">
        <v>294</v>
      </c>
      <c r="I51" s="394"/>
      <c r="J51" s="395" t="s">
        <v>289</v>
      </c>
      <c r="K51" s="396"/>
      <c r="L51" s="396"/>
      <c r="M51" s="396"/>
      <c r="N51" s="397"/>
    </row>
    <row r="52" spans="1:15" ht="13.5" thickBot="1" x14ac:dyDescent="0.25">
      <c r="A52" s="425"/>
      <c r="B52" s="407"/>
      <c r="C52" s="407"/>
      <c r="D52" s="407"/>
      <c r="E52" s="407"/>
      <c r="F52" s="408"/>
      <c r="G52" s="409"/>
      <c r="H52" s="426"/>
      <c r="I52" s="427"/>
      <c r="J52" s="428"/>
      <c r="K52" s="429"/>
      <c r="L52" s="429"/>
      <c r="M52" s="429"/>
      <c r="N52" s="430"/>
    </row>
    <row r="53" spans="1:15" ht="13.5" thickBot="1" x14ac:dyDescent="0.25">
      <c r="A53" s="50" t="s">
        <v>68</v>
      </c>
    </row>
    <row r="54" spans="1:15" ht="13.5" thickBot="1" x14ac:dyDescent="0.25">
      <c r="A54" s="328" t="s">
        <v>18</v>
      </c>
      <c r="B54" s="329"/>
      <c r="C54" s="329"/>
      <c r="D54" s="329"/>
      <c r="E54" s="329"/>
      <c r="F54" s="319" t="s">
        <v>19</v>
      </c>
      <c r="G54" s="320"/>
      <c r="H54" s="319" t="s">
        <v>20</v>
      </c>
      <c r="I54" s="329"/>
      <c r="J54" s="329"/>
      <c r="K54" s="329"/>
      <c r="L54" s="330"/>
    </row>
    <row r="55" spans="1:15" ht="13.5" customHeight="1" thickBot="1" x14ac:dyDescent="0.25">
      <c r="A55" s="341"/>
      <c r="B55" s="342"/>
      <c r="C55" s="342"/>
      <c r="D55" s="342"/>
      <c r="E55" s="342"/>
      <c r="F55" s="309"/>
      <c r="G55" s="310"/>
      <c r="H55" s="311"/>
      <c r="I55" s="312"/>
      <c r="J55" s="312"/>
      <c r="K55" s="312"/>
      <c r="L55" s="313"/>
    </row>
    <row r="56" spans="1:15" ht="32.25" customHeight="1" thickBot="1" x14ac:dyDescent="0.25">
      <c r="A56" s="341"/>
      <c r="B56" s="342"/>
      <c r="C56" s="342"/>
      <c r="D56" s="342"/>
      <c r="E56" s="342"/>
      <c r="F56" s="309"/>
      <c r="G56" s="310"/>
      <c r="H56" s="343"/>
      <c r="I56" s="312"/>
      <c r="J56" s="312"/>
      <c r="K56" s="312"/>
      <c r="L56" s="313"/>
    </row>
    <row r="57" spans="1:15" x14ac:dyDescent="0.2">
      <c r="A57" s="341"/>
      <c r="B57" s="342"/>
      <c r="C57" s="342"/>
      <c r="D57" s="342"/>
      <c r="E57" s="342"/>
      <c r="F57" s="309"/>
      <c r="G57" s="310"/>
      <c r="H57" s="343"/>
      <c r="I57" s="312"/>
      <c r="J57" s="312"/>
      <c r="K57" s="312"/>
      <c r="L57" s="313"/>
    </row>
  </sheetData>
  <mergeCells count="89">
    <mergeCell ref="A57:E57"/>
    <mergeCell ref="F57:G57"/>
    <mergeCell ref="H57:L57"/>
    <mergeCell ref="A55:E55"/>
    <mergeCell ref="F55:G55"/>
    <mergeCell ref="H55:L55"/>
    <mergeCell ref="A56:E56"/>
    <mergeCell ref="F56:G56"/>
    <mergeCell ref="H56:L56"/>
    <mergeCell ref="A52:E52"/>
    <mergeCell ref="F52:G52"/>
    <mergeCell ref="H52:I52"/>
    <mergeCell ref="J52:N52"/>
    <mergeCell ref="A54:E54"/>
    <mergeCell ref="F54:G54"/>
    <mergeCell ref="H54:L54"/>
    <mergeCell ref="A47:E47"/>
    <mergeCell ref="F47:G47"/>
    <mergeCell ref="H47:L47"/>
    <mergeCell ref="A50:E50"/>
    <mergeCell ref="F50:G50"/>
    <mergeCell ref="H50:I50"/>
    <mergeCell ref="J50:N50"/>
    <mergeCell ref="A39:E39"/>
    <mergeCell ref="F39:G39"/>
    <mergeCell ref="H39:L39"/>
    <mergeCell ref="A46:E46"/>
    <mergeCell ref="F46:G46"/>
    <mergeCell ref="H46:L46"/>
    <mergeCell ref="A45:E45"/>
    <mergeCell ref="F45:G45"/>
    <mergeCell ref="H45:L45"/>
    <mergeCell ref="A40:E40"/>
    <mergeCell ref="F40:G40"/>
    <mergeCell ref="H40:L40"/>
    <mergeCell ref="A44:E44"/>
    <mergeCell ref="F44:G44"/>
    <mergeCell ref="H44:L44"/>
    <mergeCell ref="A34:E34"/>
    <mergeCell ref="F34:J34"/>
    <mergeCell ref="A35:E35"/>
    <mergeCell ref="F35:J35"/>
    <mergeCell ref="A38:E38"/>
    <mergeCell ref="F38:G38"/>
    <mergeCell ref="H38:L38"/>
    <mergeCell ref="A30:E30"/>
    <mergeCell ref="F30:J30"/>
    <mergeCell ref="A32:E32"/>
    <mergeCell ref="F32:J32"/>
    <mergeCell ref="A33:E33"/>
    <mergeCell ref="F33:J33"/>
    <mergeCell ref="A31:E31"/>
    <mergeCell ref="F31:J31"/>
    <mergeCell ref="A25:E25"/>
    <mergeCell ref="F25:J25"/>
    <mergeCell ref="A26:E26"/>
    <mergeCell ref="F26:J26"/>
    <mergeCell ref="A27:E27"/>
    <mergeCell ref="F27:J27"/>
    <mergeCell ref="B17:F17"/>
    <mergeCell ref="G17:K17"/>
    <mergeCell ref="B18:F18"/>
    <mergeCell ref="G18:K18"/>
    <mergeCell ref="B21:F21"/>
    <mergeCell ref="G21:K21"/>
    <mergeCell ref="B20:F20"/>
    <mergeCell ref="G20:K20"/>
    <mergeCell ref="B14:F14"/>
    <mergeCell ref="G14:K14"/>
    <mergeCell ref="B15:F15"/>
    <mergeCell ref="G15:K15"/>
    <mergeCell ref="B16:F16"/>
    <mergeCell ref="G16:K16"/>
    <mergeCell ref="A51:E51"/>
    <mergeCell ref="F51:G51"/>
    <mergeCell ref="H51:I51"/>
    <mergeCell ref="J51:N51"/>
    <mergeCell ref="B8:F8"/>
    <mergeCell ref="G8:K8"/>
    <mergeCell ref="B9:F9"/>
    <mergeCell ref="G9:K9"/>
    <mergeCell ref="B10:F10"/>
    <mergeCell ref="G10:K10"/>
    <mergeCell ref="B11:F11"/>
    <mergeCell ref="G11:K11"/>
    <mergeCell ref="B12:F12"/>
    <mergeCell ref="G12:K12"/>
    <mergeCell ref="B13:F13"/>
    <mergeCell ref="G13:K13"/>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57"/>
  <sheetViews>
    <sheetView topLeftCell="A13" zoomScale="80" zoomScaleNormal="80" zoomScalePageLayoutView="80" workbookViewId="0">
      <selection activeCell="B19" sqref="B19:F1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t="s">
        <v>314</v>
      </c>
      <c r="C9" s="362"/>
      <c r="D9" s="362"/>
      <c r="E9" s="362"/>
      <c r="F9" s="362"/>
      <c r="G9" s="363"/>
      <c r="H9" s="363"/>
      <c r="I9" s="363"/>
      <c r="J9" s="363"/>
      <c r="K9" s="364"/>
      <c r="N9" s="163"/>
    </row>
    <row r="10" spans="1:14" ht="217.5" customHeight="1" x14ac:dyDescent="0.2">
      <c r="A10" s="65" t="s">
        <v>52</v>
      </c>
      <c r="B10" s="346" t="s">
        <v>190</v>
      </c>
      <c r="C10" s="347"/>
      <c r="D10" s="347"/>
      <c r="E10" s="347"/>
      <c r="F10" s="347"/>
      <c r="G10" s="366"/>
      <c r="H10" s="366"/>
      <c r="I10" s="366"/>
      <c r="J10" s="366"/>
      <c r="K10" s="367"/>
    </row>
    <row r="11" spans="1:14" ht="143.25" customHeight="1" x14ac:dyDescent="0.2">
      <c r="A11" s="65" t="s">
        <v>48</v>
      </c>
      <c r="B11" s="346" t="s">
        <v>309</v>
      </c>
      <c r="C11" s="347"/>
      <c r="D11" s="347"/>
      <c r="E11" s="347"/>
      <c r="F11" s="347"/>
      <c r="G11" s="366" t="s">
        <v>310</v>
      </c>
      <c r="H11" s="366"/>
      <c r="I11" s="366"/>
      <c r="J11" s="366"/>
      <c r="K11" s="367"/>
    </row>
    <row r="12" spans="1:14" ht="241.5" customHeight="1" x14ac:dyDescent="0.2">
      <c r="A12" s="65" t="s">
        <v>60</v>
      </c>
      <c r="B12" s="346" t="s">
        <v>313</v>
      </c>
      <c r="C12" s="347"/>
      <c r="D12" s="347"/>
      <c r="E12" s="347"/>
      <c r="F12" s="347"/>
      <c r="G12" s="366"/>
      <c r="H12" s="366"/>
      <c r="I12" s="366"/>
      <c r="J12" s="366"/>
      <c r="K12" s="367"/>
    </row>
    <row r="13" spans="1:14" ht="243.75" customHeight="1" x14ac:dyDescent="0.2">
      <c r="A13" s="65" t="s">
        <v>59</v>
      </c>
      <c r="B13" s="346" t="s">
        <v>312</v>
      </c>
      <c r="C13" s="347"/>
      <c r="D13" s="347"/>
      <c r="E13" s="347"/>
      <c r="F13" s="347"/>
      <c r="G13" s="347"/>
      <c r="H13" s="347"/>
      <c r="I13" s="347"/>
      <c r="J13" s="347"/>
      <c r="K13" s="348"/>
    </row>
    <row r="14" spans="1:14" ht="129.75" customHeight="1" x14ac:dyDescent="0.2">
      <c r="A14" s="65" t="s">
        <v>74</v>
      </c>
      <c r="B14" s="346"/>
      <c r="C14" s="347"/>
      <c r="D14" s="347"/>
      <c r="E14" s="347"/>
      <c r="F14" s="347"/>
      <c r="G14" s="347"/>
      <c r="H14" s="347"/>
      <c r="I14" s="347"/>
      <c r="J14" s="347"/>
      <c r="K14" s="348"/>
    </row>
    <row r="15" spans="1:14" ht="134.25" customHeight="1" x14ac:dyDescent="0.2">
      <c r="A15" s="66" t="s">
        <v>70</v>
      </c>
      <c r="B15" s="346" t="s">
        <v>320</v>
      </c>
      <c r="C15" s="347"/>
      <c r="D15" s="347"/>
      <c r="E15" s="347"/>
      <c r="F15" s="347"/>
      <c r="G15" s="347"/>
      <c r="H15" s="347"/>
      <c r="I15" s="347"/>
      <c r="J15" s="347"/>
      <c r="K15" s="348"/>
    </row>
    <row r="16" spans="1:14" ht="212.25" customHeight="1" x14ac:dyDescent="0.2">
      <c r="A16" s="65" t="s">
        <v>1</v>
      </c>
      <c r="B16" s="346" t="s">
        <v>315</v>
      </c>
      <c r="C16" s="347"/>
      <c r="D16" s="347"/>
      <c r="E16" s="347"/>
      <c r="F16" s="347"/>
      <c r="G16" s="347"/>
      <c r="H16" s="347"/>
      <c r="I16" s="347"/>
      <c r="J16" s="347"/>
      <c r="K16" s="348"/>
    </row>
    <row r="17" spans="1:11" ht="158.25" customHeight="1" x14ac:dyDescent="0.2">
      <c r="A17" s="65" t="s">
        <v>51</v>
      </c>
      <c r="B17" s="346" t="s">
        <v>307</v>
      </c>
      <c r="C17" s="347"/>
      <c r="D17" s="347"/>
      <c r="E17" s="347"/>
      <c r="F17" s="347"/>
      <c r="G17" s="347" t="s">
        <v>308</v>
      </c>
      <c r="H17" s="347"/>
      <c r="I17" s="347"/>
      <c r="J17" s="347"/>
      <c r="K17" s="348"/>
    </row>
    <row r="18" spans="1:11" ht="146.25" customHeight="1" thickBot="1" x14ac:dyDescent="0.25">
      <c r="A18" s="67" t="s">
        <v>110</v>
      </c>
      <c r="B18" s="357" t="s">
        <v>311</v>
      </c>
      <c r="C18" s="355"/>
      <c r="D18" s="355"/>
      <c r="E18" s="355"/>
      <c r="F18" s="358"/>
      <c r="G18" s="354"/>
      <c r="H18" s="355"/>
      <c r="I18" s="355"/>
      <c r="J18" s="355"/>
      <c r="K18" s="356"/>
    </row>
    <row r="19" spans="1:11" ht="146.25" customHeight="1" thickBot="1" x14ac:dyDescent="0.25">
      <c r="A19" s="67" t="s">
        <v>111</v>
      </c>
      <c r="B19" s="431" t="s">
        <v>316</v>
      </c>
      <c r="C19" s="432"/>
      <c r="D19" s="432"/>
      <c r="E19" s="432"/>
      <c r="F19" s="433"/>
      <c r="G19" s="231"/>
      <c r="H19" s="232"/>
      <c r="I19" s="232"/>
      <c r="J19" s="232"/>
      <c r="K19" s="233"/>
    </row>
    <row r="20" spans="1:11" ht="146.25" customHeight="1" thickBot="1" x14ac:dyDescent="0.25">
      <c r="A20" s="67" t="s">
        <v>273</v>
      </c>
      <c r="B20" s="398"/>
      <c r="C20" s="399"/>
      <c r="D20" s="399"/>
      <c r="E20" s="399"/>
      <c r="F20" s="400"/>
      <c r="G20" s="401"/>
      <c r="H20" s="399"/>
      <c r="I20" s="399"/>
      <c r="J20" s="399"/>
      <c r="K20" s="402"/>
    </row>
    <row r="21" spans="1:11" ht="143.25" customHeight="1" thickBot="1" x14ac:dyDescent="0.25">
      <c r="A21" s="67" t="s">
        <v>274</v>
      </c>
      <c r="B21" s="357" t="s">
        <v>321</v>
      </c>
      <c r="C21" s="355"/>
      <c r="D21" s="355"/>
      <c r="E21" s="355"/>
      <c r="F21" s="358"/>
      <c r="G21" s="354" t="s">
        <v>322</v>
      </c>
      <c r="H21" s="355"/>
      <c r="I21" s="355"/>
      <c r="J21" s="355"/>
      <c r="K21" s="356"/>
    </row>
    <row r="22" spans="1:11" x14ac:dyDescent="0.2">
      <c r="A22" s="30" t="s">
        <v>15</v>
      </c>
      <c r="B22" s="30"/>
      <c r="C22" s="30"/>
      <c r="D22" s="30"/>
      <c r="E22" s="30"/>
      <c r="F22" s="30"/>
      <c r="G22" s="30"/>
      <c r="H22" s="30"/>
      <c r="I22" s="30"/>
      <c r="J22" s="30"/>
      <c r="K22" s="30"/>
    </row>
    <row r="23" spans="1:11" x14ac:dyDescent="0.2">
      <c r="A23" s="30"/>
      <c r="B23" s="30"/>
      <c r="C23" s="30"/>
      <c r="D23" s="30"/>
      <c r="E23" s="30"/>
      <c r="F23" s="30"/>
      <c r="G23" s="30"/>
      <c r="H23" s="30"/>
      <c r="I23" s="30"/>
      <c r="J23" s="30"/>
      <c r="K23" s="30"/>
    </row>
    <row r="24" spans="1:11" ht="13.5" thickBot="1" x14ac:dyDescent="0.25">
      <c r="A24" s="1" t="s">
        <v>13</v>
      </c>
    </row>
    <row r="25" spans="1:11" ht="13.5" thickBot="1" x14ac:dyDescent="0.25">
      <c r="A25" s="328" t="s">
        <v>14</v>
      </c>
      <c r="B25" s="329"/>
      <c r="C25" s="329"/>
      <c r="D25" s="329"/>
      <c r="E25" s="329"/>
      <c r="F25" s="329" t="s">
        <v>16</v>
      </c>
      <c r="G25" s="329"/>
      <c r="H25" s="329"/>
      <c r="I25" s="329"/>
      <c r="J25" s="330"/>
    </row>
    <row r="26" spans="1:11" ht="81" customHeight="1" thickBot="1" x14ac:dyDescent="0.25">
      <c r="A26" s="314" t="s">
        <v>135</v>
      </c>
      <c r="B26" s="315"/>
      <c r="C26" s="315"/>
      <c r="D26" s="315"/>
      <c r="E26" s="316"/>
      <c r="F26" s="317" t="s">
        <v>136</v>
      </c>
      <c r="G26" s="315"/>
      <c r="H26" s="315"/>
      <c r="I26" s="315"/>
      <c r="J26" s="318"/>
    </row>
    <row r="27" spans="1:11" ht="13.5" thickBot="1" x14ac:dyDescent="0.25">
      <c r="A27" s="351"/>
      <c r="B27" s="352"/>
      <c r="C27" s="352"/>
      <c r="D27" s="352"/>
      <c r="E27" s="353"/>
      <c r="F27" s="349"/>
      <c r="G27" s="349"/>
      <c r="H27" s="349"/>
      <c r="I27" s="349"/>
      <c r="J27" s="350"/>
    </row>
    <row r="29" spans="1:11" ht="13.5" thickBot="1" x14ac:dyDescent="0.25">
      <c r="A29" s="1" t="s">
        <v>43</v>
      </c>
    </row>
    <row r="30" spans="1:11" ht="13.5" thickBot="1" x14ac:dyDescent="0.25">
      <c r="A30" s="328" t="s">
        <v>14</v>
      </c>
      <c r="B30" s="329"/>
      <c r="C30" s="329"/>
      <c r="D30" s="329"/>
      <c r="E30" s="329"/>
      <c r="F30" s="329" t="s">
        <v>16</v>
      </c>
      <c r="G30" s="329"/>
      <c r="H30" s="329"/>
      <c r="I30" s="329"/>
      <c r="J30" s="330"/>
    </row>
    <row r="31" spans="1:11" ht="57" customHeight="1" thickBot="1" x14ac:dyDescent="0.25">
      <c r="A31" s="403" t="s">
        <v>292</v>
      </c>
      <c r="B31" s="404"/>
      <c r="C31" s="404"/>
      <c r="D31" s="404"/>
      <c r="E31" s="404"/>
      <c r="F31" s="404" t="s">
        <v>293</v>
      </c>
      <c r="G31" s="404"/>
      <c r="H31" s="404"/>
      <c r="I31" s="404"/>
      <c r="J31" s="405"/>
    </row>
    <row r="32" spans="1:11" ht="86.25" customHeight="1" thickBot="1" x14ac:dyDescent="0.25">
      <c r="A32" s="341" t="s">
        <v>157</v>
      </c>
      <c r="B32" s="342"/>
      <c r="C32" s="342"/>
      <c r="D32" s="342"/>
      <c r="E32" s="342"/>
      <c r="F32" s="343" t="s">
        <v>142</v>
      </c>
      <c r="G32" s="344"/>
      <c r="H32" s="344"/>
      <c r="I32" s="344"/>
      <c r="J32" s="345"/>
    </row>
    <row r="33" spans="1:15" ht="93" customHeight="1" thickBot="1" x14ac:dyDescent="0.25">
      <c r="A33" s="341" t="s">
        <v>144</v>
      </c>
      <c r="B33" s="342"/>
      <c r="C33" s="342"/>
      <c r="D33" s="342"/>
      <c r="E33" s="342"/>
      <c r="F33" s="343" t="s">
        <v>195</v>
      </c>
      <c r="G33" s="344"/>
      <c r="H33" s="344"/>
      <c r="I33" s="344"/>
      <c r="J33" s="345"/>
    </row>
    <row r="34" spans="1:15" ht="135" customHeight="1" thickBot="1" x14ac:dyDescent="0.25">
      <c r="A34" s="341" t="s">
        <v>141</v>
      </c>
      <c r="B34" s="342"/>
      <c r="C34" s="342"/>
      <c r="D34" s="342"/>
      <c r="E34" s="342"/>
      <c r="F34" s="343" t="s">
        <v>143</v>
      </c>
      <c r="G34" s="344"/>
      <c r="H34" s="344"/>
      <c r="I34" s="344"/>
      <c r="J34" s="345"/>
    </row>
    <row r="35" spans="1:15" ht="166.5" customHeight="1" thickBot="1" x14ac:dyDescent="0.25">
      <c r="A35" s="314" t="s">
        <v>286</v>
      </c>
      <c r="B35" s="315"/>
      <c r="C35" s="315"/>
      <c r="D35" s="315"/>
      <c r="E35" s="316"/>
      <c r="F35" s="317" t="s">
        <v>287</v>
      </c>
      <c r="G35" s="315"/>
      <c r="H35" s="315"/>
      <c r="I35" s="315"/>
      <c r="J35" s="318"/>
    </row>
    <row r="37" spans="1:15" ht="13.5" thickBot="1" x14ac:dyDescent="0.25">
      <c r="A37" s="1" t="s">
        <v>17</v>
      </c>
    </row>
    <row r="38" spans="1:15" ht="13.5" thickBot="1" x14ac:dyDescent="0.25">
      <c r="A38" s="328" t="s">
        <v>18</v>
      </c>
      <c r="B38" s="329"/>
      <c r="C38" s="329"/>
      <c r="D38" s="329"/>
      <c r="E38" s="329"/>
      <c r="F38" s="319" t="s">
        <v>19</v>
      </c>
      <c r="G38" s="320"/>
      <c r="H38" s="319" t="s">
        <v>20</v>
      </c>
      <c r="I38" s="329"/>
      <c r="J38" s="329"/>
      <c r="K38" s="329"/>
      <c r="L38" s="330"/>
    </row>
    <row r="39" spans="1:15" ht="42.75" customHeight="1" thickBot="1" x14ac:dyDescent="0.25">
      <c r="A39" s="386" t="s">
        <v>296</v>
      </c>
      <c r="B39" s="335"/>
      <c r="C39" s="335"/>
      <c r="D39" s="335"/>
      <c r="E39" s="335"/>
      <c r="F39" s="388" t="s">
        <v>290</v>
      </c>
      <c r="G39" s="337"/>
      <c r="H39" s="317" t="s">
        <v>291</v>
      </c>
      <c r="I39" s="339"/>
      <c r="J39" s="339"/>
      <c r="K39" s="339"/>
      <c r="L39" s="340"/>
    </row>
    <row r="40" spans="1:15" ht="42.75" customHeight="1" thickBot="1" x14ac:dyDescent="0.25">
      <c r="A40" s="386"/>
      <c r="B40" s="335"/>
      <c r="C40" s="335"/>
      <c r="D40" s="335"/>
      <c r="E40" s="335"/>
      <c r="F40" s="336"/>
      <c r="G40" s="337"/>
      <c r="H40" s="317"/>
      <c r="I40" s="379"/>
      <c r="J40" s="379"/>
      <c r="K40" s="379"/>
      <c r="L40" s="380"/>
    </row>
    <row r="41" spans="1:15" ht="12" customHeight="1" thickBot="1" x14ac:dyDescent="0.25">
      <c r="A41" s="58"/>
      <c r="B41" s="226"/>
      <c r="C41" s="226"/>
      <c r="D41" s="226"/>
      <c r="E41" s="227"/>
      <c r="F41" s="228"/>
      <c r="G41" s="229"/>
      <c r="H41" s="55"/>
      <c r="I41" s="230"/>
      <c r="J41" s="230"/>
      <c r="K41" s="230"/>
      <c r="L41" s="234"/>
    </row>
    <row r="42" spans="1:15" ht="24.75" customHeight="1" x14ac:dyDescent="0.2">
      <c r="O42" s="32"/>
    </row>
    <row r="43" spans="1:15" ht="24.75" customHeight="1" thickBot="1" x14ac:dyDescent="0.25">
      <c r="A43" s="1" t="s">
        <v>21</v>
      </c>
      <c r="O43" s="32"/>
    </row>
    <row r="44" spans="1:15" ht="24.75" customHeight="1" thickBot="1" x14ac:dyDescent="0.25">
      <c r="A44" s="328" t="s">
        <v>18</v>
      </c>
      <c r="B44" s="329"/>
      <c r="C44" s="329"/>
      <c r="D44" s="329"/>
      <c r="E44" s="329"/>
      <c r="F44" s="319" t="s">
        <v>19</v>
      </c>
      <c r="G44" s="320"/>
      <c r="H44" s="331" t="s">
        <v>69</v>
      </c>
      <c r="I44" s="332"/>
      <c r="J44" s="332"/>
      <c r="K44" s="332"/>
      <c r="L44" s="333"/>
      <c r="O44" s="32"/>
    </row>
    <row r="45" spans="1:15" ht="115.5" customHeight="1" thickBot="1" x14ac:dyDescent="0.25">
      <c r="A45" s="413"/>
      <c r="B45" s="414"/>
      <c r="C45" s="414"/>
      <c r="D45" s="414"/>
      <c r="E45" s="414"/>
      <c r="F45" s="415"/>
      <c r="G45" s="416"/>
      <c r="H45" s="417"/>
      <c r="I45" s="414"/>
      <c r="J45" s="414"/>
      <c r="K45" s="414"/>
      <c r="L45" s="418"/>
    </row>
    <row r="46" spans="1:15" ht="115.5" customHeight="1" thickBot="1" x14ac:dyDescent="0.25">
      <c r="A46" s="406"/>
      <c r="B46" s="407"/>
      <c r="C46" s="407"/>
      <c r="D46" s="407"/>
      <c r="E46" s="407"/>
      <c r="F46" s="408"/>
      <c r="G46" s="409"/>
      <c r="H46" s="410"/>
      <c r="I46" s="411"/>
      <c r="J46" s="411"/>
      <c r="K46" s="411"/>
      <c r="L46" s="412"/>
    </row>
    <row r="47" spans="1:15" ht="115.5" customHeight="1" thickBot="1" x14ac:dyDescent="0.25">
      <c r="A47" s="334"/>
      <c r="B47" s="335"/>
      <c r="C47" s="335"/>
      <c r="D47" s="335"/>
      <c r="E47" s="335"/>
      <c r="F47" s="336"/>
      <c r="G47" s="337"/>
      <c r="H47" s="338"/>
      <c r="I47" s="339"/>
      <c r="J47" s="339"/>
      <c r="K47" s="339"/>
      <c r="L47" s="340"/>
    </row>
    <row r="49" spans="1:15" ht="24.75" customHeight="1" thickBot="1" x14ac:dyDescent="0.25">
      <c r="A49" s="50" t="s">
        <v>64</v>
      </c>
      <c r="O49" s="32"/>
    </row>
    <row r="50" spans="1:15" ht="24.75" customHeight="1" thickBot="1" x14ac:dyDescent="0.25">
      <c r="A50" s="365" t="s">
        <v>18</v>
      </c>
      <c r="B50" s="359"/>
      <c r="C50" s="359"/>
      <c r="D50" s="359"/>
      <c r="E50" s="359"/>
      <c r="F50" s="419" t="s">
        <v>65</v>
      </c>
      <c r="G50" s="420"/>
      <c r="H50" s="421" t="s">
        <v>66</v>
      </c>
      <c r="I50" s="422"/>
      <c r="J50" s="419" t="s">
        <v>67</v>
      </c>
      <c r="K50" s="423"/>
      <c r="L50" s="423"/>
      <c r="M50" s="423"/>
      <c r="N50" s="424"/>
      <c r="O50" s="32"/>
    </row>
    <row r="51" spans="1:15" ht="66.75" customHeight="1" thickBot="1" x14ac:dyDescent="0.25">
      <c r="A51" s="389" t="s">
        <v>295</v>
      </c>
      <c r="B51" s="390"/>
      <c r="C51" s="390"/>
      <c r="D51" s="390"/>
      <c r="E51" s="390"/>
      <c r="F51" s="391" t="s">
        <v>165</v>
      </c>
      <c r="G51" s="392"/>
      <c r="H51" s="393" t="s">
        <v>294</v>
      </c>
      <c r="I51" s="394"/>
      <c r="J51" s="395" t="s">
        <v>289</v>
      </c>
      <c r="K51" s="396"/>
      <c r="L51" s="396"/>
      <c r="M51" s="396"/>
      <c r="N51" s="397"/>
    </row>
    <row r="52" spans="1:15" ht="13.5" thickBot="1" x14ac:dyDescent="0.25">
      <c r="A52" s="425"/>
      <c r="B52" s="407"/>
      <c r="C52" s="407"/>
      <c r="D52" s="407"/>
      <c r="E52" s="407"/>
      <c r="F52" s="408"/>
      <c r="G52" s="409"/>
      <c r="H52" s="426"/>
      <c r="I52" s="427"/>
      <c r="J52" s="428"/>
      <c r="K52" s="429"/>
      <c r="L52" s="429"/>
      <c r="M52" s="429"/>
      <c r="N52" s="430"/>
    </row>
    <row r="53" spans="1:15" ht="13.5" thickBot="1" x14ac:dyDescent="0.25">
      <c r="A53" s="50" t="s">
        <v>68</v>
      </c>
    </row>
    <row r="54" spans="1:15" ht="13.5" thickBot="1" x14ac:dyDescent="0.25">
      <c r="A54" s="328" t="s">
        <v>18</v>
      </c>
      <c r="B54" s="329"/>
      <c r="C54" s="329"/>
      <c r="D54" s="329"/>
      <c r="E54" s="329"/>
      <c r="F54" s="319" t="s">
        <v>19</v>
      </c>
      <c r="G54" s="320"/>
      <c r="H54" s="319" t="s">
        <v>20</v>
      </c>
      <c r="I54" s="329"/>
      <c r="J54" s="329"/>
      <c r="K54" s="329"/>
      <c r="L54" s="330"/>
    </row>
    <row r="55" spans="1:15" ht="13.5" customHeight="1" thickBot="1" x14ac:dyDescent="0.25">
      <c r="A55" s="341"/>
      <c r="B55" s="342"/>
      <c r="C55" s="342"/>
      <c r="D55" s="342"/>
      <c r="E55" s="342"/>
      <c r="F55" s="309"/>
      <c r="G55" s="310"/>
      <c r="H55" s="311"/>
      <c r="I55" s="312"/>
      <c r="J55" s="312"/>
      <c r="K55" s="312"/>
      <c r="L55" s="313"/>
    </row>
    <row r="56" spans="1:15" ht="32.25" customHeight="1" thickBot="1" x14ac:dyDescent="0.25">
      <c r="A56" s="341"/>
      <c r="B56" s="342"/>
      <c r="C56" s="342"/>
      <c r="D56" s="342"/>
      <c r="E56" s="342"/>
      <c r="F56" s="309"/>
      <c r="G56" s="310"/>
      <c r="H56" s="343"/>
      <c r="I56" s="312"/>
      <c r="J56" s="312"/>
      <c r="K56" s="312"/>
      <c r="L56" s="313"/>
    </row>
    <row r="57" spans="1:15" x14ac:dyDescent="0.2">
      <c r="A57" s="341"/>
      <c r="B57" s="342"/>
      <c r="C57" s="342"/>
      <c r="D57" s="342"/>
      <c r="E57" s="342"/>
      <c r="F57" s="309"/>
      <c r="G57" s="310"/>
      <c r="H57" s="343"/>
      <c r="I57" s="312"/>
      <c r="J57" s="312"/>
      <c r="K57" s="312"/>
      <c r="L57" s="313"/>
    </row>
  </sheetData>
  <mergeCells count="90">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20:F20"/>
    <mergeCell ref="G20:K20"/>
    <mergeCell ref="B19:F19"/>
    <mergeCell ref="B21:F21"/>
    <mergeCell ref="G21:K21"/>
    <mergeCell ref="A25:E25"/>
    <mergeCell ref="F25:J25"/>
    <mergeCell ref="A26:E26"/>
    <mergeCell ref="F26:J26"/>
    <mergeCell ref="A27:E27"/>
    <mergeCell ref="F27:J27"/>
    <mergeCell ref="A30:E30"/>
    <mergeCell ref="F30:J30"/>
    <mergeCell ref="A31:E31"/>
    <mergeCell ref="F31:J31"/>
    <mergeCell ref="A39:E39"/>
    <mergeCell ref="F39:G39"/>
    <mergeCell ref="H39:L39"/>
    <mergeCell ref="A32:E32"/>
    <mergeCell ref="F32:J32"/>
    <mergeCell ref="A33:E33"/>
    <mergeCell ref="F33:J33"/>
    <mergeCell ref="A34:E34"/>
    <mergeCell ref="F34:J34"/>
    <mergeCell ref="A35:E35"/>
    <mergeCell ref="F35:J35"/>
    <mergeCell ref="A38:E38"/>
    <mergeCell ref="F38:G38"/>
    <mergeCell ref="H38:L38"/>
    <mergeCell ref="A40:E40"/>
    <mergeCell ref="F40:G40"/>
    <mergeCell ref="H40:L40"/>
    <mergeCell ref="A44:E44"/>
    <mergeCell ref="F44:G44"/>
    <mergeCell ref="H44:L44"/>
    <mergeCell ref="A45:E45"/>
    <mergeCell ref="F45:G45"/>
    <mergeCell ref="H45:L45"/>
    <mergeCell ref="A46:E46"/>
    <mergeCell ref="F46:G46"/>
    <mergeCell ref="H46:L46"/>
    <mergeCell ref="A47:E47"/>
    <mergeCell ref="F47:G47"/>
    <mergeCell ref="H47:L47"/>
    <mergeCell ref="A50:E50"/>
    <mergeCell ref="F50:G50"/>
    <mergeCell ref="H50:I50"/>
    <mergeCell ref="J50:N50"/>
    <mergeCell ref="A51:E51"/>
    <mergeCell ref="F51:G51"/>
    <mergeCell ref="H51:I51"/>
    <mergeCell ref="J51:N51"/>
    <mergeCell ref="A52:E52"/>
    <mergeCell ref="F52:G52"/>
    <mergeCell ref="H52:I52"/>
    <mergeCell ref="J52:N52"/>
    <mergeCell ref="A54:E54"/>
    <mergeCell ref="F54:G54"/>
    <mergeCell ref="H54:L54"/>
    <mergeCell ref="A55:E55"/>
    <mergeCell ref="F55:G55"/>
    <mergeCell ref="H55:L55"/>
    <mergeCell ref="A56:E56"/>
    <mergeCell ref="F56:G56"/>
    <mergeCell ref="H56:L56"/>
    <mergeCell ref="A57:E57"/>
    <mergeCell ref="F57:G57"/>
    <mergeCell ref="H57:L57"/>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61"/>
  <sheetViews>
    <sheetView workbookViewId="0">
      <selection activeCell="B10" sqref="B10:F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c r="C9" s="362"/>
      <c r="D9" s="362"/>
      <c r="E9" s="362"/>
      <c r="F9" s="362"/>
      <c r="G9" s="363"/>
      <c r="H9" s="363"/>
      <c r="I9" s="363"/>
      <c r="J9" s="363"/>
      <c r="K9" s="364"/>
      <c r="N9" s="163"/>
    </row>
    <row r="10" spans="1:14" ht="217.5" customHeight="1" x14ac:dyDescent="0.2">
      <c r="A10" s="65" t="s">
        <v>52</v>
      </c>
      <c r="B10" s="346" t="s">
        <v>353</v>
      </c>
      <c r="C10" s="347"/>
      <c r="D10" s="347"/>
      <c r="E10" s="347"/>
      <c r="F10" s="347"/>
      <c r="G10" s="366" t="s">
        <v>352</v>
      </c>
      <c r="H10" s="366"/>
      <c r="I10" s="366"/>
      <c r="J10" s="366"/>
      <c r="K10" s="367"/>
    </row>
    <row r="11" spans="1:14" ht="143.25" customHeight="1" x14ac:dyDescent="0.2">
      <c r="A11" s="65" t="s">
        <v>48</v>
      </c>
      <c r="B11" s="346"/>
      <c r="C11" s="347"/>
      <c r="D11" s="347"/>
      <c r="E11" s="347"/>
      <c r="F11" s="347"/>
      <c r="G11" s="366"/>
      <c r="H11" s="366"/>
      <c r="I11" s="366"/>
      <c r="J11" s="366"/>
      <c r="K11" s="367"/>
    </row>
    <row r="12" spans="1:14" ht="241.5" customHeight="1" x14ac:dyDescent="0.2">
      <c r="A12" s="65" t="s">
        <v>60</v>
      </c>
      <c r="B12" s="346" t="s">
        <v>351</v>
      </c>
      <c r="C12" s="347"/>
      <c r="D12" s="347"/>
      <c r="E12" s="347"/>
      <c r="F12" s="347"/>
      <c r="G12" s="366"/>
      <c r="H12" s="366"/>
      <c r="I12" s="366"/>
      <c r="J12" s="366"/>
      <c r="K12" s="367"/>
    </row>
    <row r="13" spans="1:14" ht="243.75" customHeight="1" x14ac:dyDescent="0.2">
      <c r="A13" s="65" t="s">
        <v>59</v>
      </c>
      <c r="B13" s="346" t="s">
        <v>346</v>
      </c>
      <c r="C13" s="347"/>
      <c r="D13" s="347"/>
      <c r="E13" s="347"/>
      <c r="F13" s="347"/>
      <c r="G13" s="347" t="s">
        <v>357</v>
      </c>
      <c r="H13" s="347"/>
      <c r="I13" s="347"/>
      <c r="J13" s="347"/>
      <c r="K13" s="348"/>
    </row>
    <row r="14" spans="1:14" ht="243.75" customHeight="1" x14ac:dyDescent="0.2">
      <c r="A14" s="65" t="s">
        <v>345</v>
      </c>
      <c r="B14" s="439" t="s">
        <v>356</v>
      </c>
      <c r="C14" s="440"/>
      <c r="D14" s="440"/>
      <c r="E14" s="440"/>
      <c r="F14" s="441"/>
      <c r="G14" s="442" t="s">
        <v>347</v>
      </c>
      <c r="H14" s="440"/>
      <c r="I14" s="440"/>
      <c r="J14" s="440"/>
      <c r="K14" s="443"/>
    </row>
    <row r="15" spans="1:14" ht="129.75" customHeight="1" x14ac:dyDescent="0.2">
      <c r="A15" s="65" t="s">
        <v>74</v>
      </c>
      <c r="B15" s="346" t="s">
        <v>354</v>
      </c>
      <c r="C15" s="347"/>
      <c r="D15" s="347"/>
      <c r="E15" s="347"/>
      <c r="F15" s="347"/>
      <c r="G15" s="347"/>
      <c r="H15" s="347"/>
      <c r="I15" s="347"/>
      <c r="J15" s="347"/>
      <c r="K15" s="348"/>
    </row>
    <row r="16" spans="1:14" ht="134.25" customHeight="1" x14ac:dyDescent="0.2">
      <c r="A16" s="66" t="s">
        <v>70</v>
      </c>
      <c r="B16" s="346" t="s">
        <v>355</v>
      </c>
      <c r="C16" s="347"/>
      <c r="D16" s="347"/>
      <c r="E16" s="347"/>
      <c r="F16" s="347"/>
      <c r="G16" s="347" t="s">
        <v>349</v>
      </c>
      <c r="H16" s="347"/>
      <c r="I16" s="347"/>
      <c r="J16" s="347"/>
      <c r="K16" s="348"/>
    </row>
    <row r="17" spans="1:11" ht="212.25" customHeight="1" x14ac:dyDescent="0.2">
      <c r="A17" s="65" t="s">
        <v>1</v>
      </c>
      <c r="B17" s="346"/>
      <c r="C17" s="347"/>
      <c r="D17" s="347"/>
      <c r="E17" s="347"/>
      <c r="F17" s="347"/>
      <c r="G17" s="347"/>
      <c r="H17" s="347"/>
      <c r="I17" s="347"/>
      <c r="J17" s="347"/>
      <c r="K17" s="348"/>
    </row>
    <row r="18" spans="1:11" ht="158.25" customHeight="1" x14ac:dyDescent="0.2">
      <c r="A18" s="65" t="s">
        <v>51</v>
      </c>
      <c r="B18" s="346" t="s">
        <v>350</v>
      </c>
      <c r="C18" s="347"/>
      <c r="D18" s="347"/>
      <c r="E18" s="347"/>
      <c r="F18" s="347"/>
      <c r="G18" s="347"/>
      <c r="H18" s="347"/>
      <c r="I18" s="347"/>
      <c r="J18" s="347"/>
      <c r="K18" s="348"/>
    </row>
    <row r="19" spans="1:11" ht="146.25" customHeight="1" thickBot="1" x14ac:dyDescent="0.25">
      <c r="A19" s="67" t="s">
        <v>110</v>
      </c>
      <c r="B19" s="357" t="s">
        <v>348</v>
      </c>
      <c r="C19" s="355"/>
      <c r="D19" s="355"/>
      <c r="E19" s="355"/>
      <c r="F19" s="358"/>
      <c r="G19" s="354"/>
      <c r="H19" s="355"/>
      <c r="I19" s="355"/>
      <c r="J19" s="355"/>
      <c r="K19" s="356"/>
    </row>
    <row r="20" spans="1:11" ht="146.25" customHeight="1" thickBot="1" x14ac:dyDescent="0.25">
      <c r="A20" s="67" t="s">
        <v>111</v>
      </c>
      <c r="B20" s="431"/>
      <c r="C20" s="432"/>
      <c r="D20" s="432"/>
      <c r="E20" s="432"/>
      <c r="F20" s="433"/>
      <c r="G20" s="251"/>
      <c r="H20" s="252"/>
      <c r="I20" s="252"/>
      <c r="J20" s="252"/>
      <c r="K20" s="253"/>
    </row>
    <row r="21" spans="1:11" ht="146.25" customHeight="1" thickBot="1" x14ac:dyDescent="0.25">
      <c r="A21" s="67" t="s">
        <v>273</v>
      </c>
      <c r="B21" s="398" t="s">
        <v>387</v>
      </c>
      <c r="C21" s="399"/>
      <c r="D21" s="399"/>
      <c r="E21" s="399"/>
      <c r="F21" s="400"/>
      <c r="G21" s="401" t="s">
        <v>388</v>
      </c>
      <c r="H21" s="399"/>
      <c r="I21" s="399"/>
      <c r="J21" s="399"/>
      <c r="K21" s="402"/>
    </row>
    <row r="22" spans="1:11" ht="180" customHeight="1" thickBot="1" x14ac:dyDescent="0.25">
      <c r="A22" s="67" t="s">
        <v>274</v>
      </c>
      <c r="B22" s="357" t="s">
        <v>385</v>
      </c>
      <c r="C22" s="355"/>
      <c r="D22" s="355"/>
      <c r="E22" s="355"/>
      <c r="F22" s="358"/>
      <c r="G22" s="354" t="s">
        <v>383</v>
      </c>
      <c r="H22" s="355"/>
      <c r="I22" s="355"/>
      <c r="J22" s="355"/>
      <c r="K22" s="356"/>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328" t="s">
        <v>14</v>
      </c>
      <c r="B26" s="329"/>
      <c r="C26" s="329"/>
      <c r="D26" s="329"/>
      <c r="E26" s="329"/>
      <c r="F26" s="329" t="s">
        <v>16</v>
      </c>
      <c r="G26" s="329"/>
      <c r="H26" s="329"/>
      <c r="I26" s="329"/>
      <c r="J26" s="330"/>
    </row>
    <row r="27" spans="1:11" ht="81" customHeight="1" thickBot="1" x14ac:dyDescent="0.25">
      <c r="A27" s="314" t="s">
        <v>135</v>
      </c>
      <c r="B27" s="315"/>
      <c r="C27" s="315"/>
      <c r="D27" s="315"/>
      <c r="E27" s="316"/>
      <c r="F27" s="317" t="s">
        <v>136</v>
      </c>
      <c r="G27" s="315"/>
      <c r="H27" s="315"/>
      <c r="I27" s="315"/>
      <c r="J27" s="318"/>
    </row>
    <row r="28" spans="1:11" ht="13.5" thickBot="1" x14ac:dyDescent="0.25">
      <c r="A28" s="351"/>
      <c r="B28" s="352"/>
      <c r="C28" s="352"/>
      <c r="D28" s="352"/>
      <c r="E28" s="353"/>
      <c r="F28" s="349"/>
      <c r="G28" s="349"/>
      <c r="H28" s="349"/>
      <c r="I28" s="349"/>
      <c r="J28" s="350"/>
    </row>
    <row r="30" spans="1:11" ht="13.5" thickBot="1" x14ac:dyDescent="0.25">
      <c r="A30" s="1" t="s">
        <v>43</v>
      </c>
    </row>
    <row r="31" spans="1:11" ht="13.5" thickBot="1" x14ac:dyDescent="0.25">
      <c r="A31" s="328" t="s">
        <v>14</v>
      </c>
      <c r="B31" s="329"/>
      <c r="C31" s="329"/>
      <c r="D31" s="329"/>
      <c r="E31" s="329"/>
      <c r="F31" s="329" t="s">
        <v>16</v>
      </c>
      <c r="G31" s="329"/>
      <c r="H31" s="329"/>
      <c r="I31" s="329"/>
      <c r="J31" s="330"/>
    </row>
    <row r="32" spans="1:11" ht="57" customHeight="1" thickBot="1" x14ac:dyDescent="0.25">
      <c r="A32" s="403" t="s">
        <v>292</v>
      </c>
      <c r="B32" s="404"/>
      <c r="C32" s="404"/>
      <c r="D32" s="404"/>
      <c r="E32" s="404"/>
      <c r="F32" s="404" t="s">
        <v>293</v>
      </c>
      <c r="G32" s="404"/>
      <c r="H32" s="404"/>
      <c r="I32" s="404"/>
      <c r="J32" s="405"/>
    </row>
    <row r="33" spans="1:15" ht="156" customHeight="1" thickBot="1" x14ac:dyDescent="0.25">
      <c r="A33" s="341" t="s">
        <v>157</v>
      </c>
      <c r="B33" s="342"/>
      <c r="C33" s="342"/>
      <c r="D33" s="342"/>
      <c r="E33" s="342"/>
      <c r="F33" s="343" t="s">
        <v>366</v>
      </c>
      <c r="G33" s="344"/>
      <c r="H33" s="344"/>
      <c r="I33" s="344"/>
      <c r="J33" s="345"/>
    </row>
    <row r="34" spans="1:15" ht="93" customHeight="1" thickBot="1" x14ac:dyDescent="0.25">
      <c r="A34" s="341" t="s">
        <v>144</v>
      </c>
      <c r="B34" s="342"/>
      <c r="C34" s="342"/>
      <c r="D34" s="342"/>
      <c r="E34" s="342"/>
      <c r="F34" s="343" t="s">
        <v>195</v>
      </c>
      <c r="G34" s="344"/>
      <c r="H34" s="344"/>
      <c r="I34" s="344"/>
      <c r="J34" s="345"/>
    </row>
    <row r="35" spans="1:15" ht="93" customHeight="1" thickBot="1" x14ac:dyDescent="0.25">
      <c r="A35" s="314" t="s">
        <v>367</v>
      </c>
      <c r="B35" s="379"/>
      <c r="C35" s="379"/>
      <c r="D35" s="379"/>
      <c r="E35" s="434"/>
      <c r="F35" s="435" t="s">
        <v>368</v>
      </c>
      <c r="G35" s="436"/>
      <c r="H35" s="436"/>
      <c r="I35" s="436"/>
      <c r="J35" s="437"/>
    </row>
    <row r="36" spans="1:15" ht="93" customHeight="1" thickBot="1" x14ac:dyDescent="0.25">
      <c r="A36" s="314" t="s">
        <v>371</v>
      </c>
      <c r="B36" s="379"/>
      <c r="C36" s="379"/>
      <c r="D36" s="379"/>
      <c r="E36" s="434"/>
      <c r="F36" s="435" t="s">
        <v>372</v>
      </c>
      <c r="G36" s="436"/>
      <c r="H36" s="436"/>
      <c r="I36" s="436"/>
      <c r="J36" s="437"/>
    </row>
    <row r="37" spans="1:15" ht="93" customHeight="1" thickBot="1" x14ac:dyDescent="0.25">
      <c r="A37" s="314" t="s">
        <v>369</v>
      </c>
      <c r="B37" s="379"/>
      <c r="C37" s="379"/>
      <c r="D37" s="379"/>
      <c r="E37" s="434"/>
      <c r="F37" s="435" t="s">
        <v>370</v>
      </c>
      <c r="G37" s="436"/>
      <c r="H37" s="436"/>
      <c r="I37" s="436"/>
      <c r="J37" s="437"/>
    </row>
    <row r="38" spans="1:15" ht="135" customHeight="1" thickBot="1" x14ac:dyDescent="0.25">
      <c r="A38" s="341" t="s">
        <v>141</v>
      </c>
      <c r="B38" s="342"/>
      <c r="C38" s="342"/>
      <c r="D38" s="342"/>
      <c r="E38" s="342"/>
      <c r="F38" s="343" t="s">
        <v>143</v>
      </c>
      <c r="G38" s="344"/>
      <c r="H38" s="344"/>
      <c r="I38" s="344"/>
      <c r="J38" s="345"/>
    </row>
    <row r="39" spans="1:15" ht="166.5" customHeight="1" thickBot="1" x14ac:dyDescent="0.25">
      <c r="A39" s="314" t="s">
        <v>286</v>
      </c>
      <c r="B39" s="315"/>
      <c r="C39" s="315"/>
      <c r="D39" s="315"/>
      <c r="E39" s="316"/>
      <c r="F39" s="317" t="s">
        <v>287</v>
      </c>
      <c r="G39" s="315"/>
      <c r="H39" s="315"/>
      <c r="I39" s="315"/>
      <c r="J39" s="318"/>
    </row>
    <row r="41" spans="1:15" ht="13.5" thickBot="1" x14ac:dyDescent="0.25">
      <c r="A41" s="1" t="s">
        <v>17</v>
      </c>
    </row>
    <row r="42" spans="1:15" ht="13.5" thickBot="1" x14ac:dyDescent="0.25">
      <c r="A42" s="328" t="s">
        <v>18</v>
      </c>
      <c r="B42" s="329"/>
      <c r="C42" s="329"/>
      <c r="D42" s="329"/>
      <c r="E42" s="329"/>
      <c r="F42" s="319" t="s">
        <v>19</v>
      </c>
      <c r="G42" s="320"/>
      <c r="H42" s="319" t="s">
        <v>20</v>
      </c>
      <c r="I42" s="329"/>
      <c r="J42" s="329"/>
      <c r="K42" s="329"/>
      <c r="L42" s="330"/>
    </row>
    <row r="43" spans="1:15" ht="42.75" customHeight="1" thickBot="1" x14ac:dyDescent="0.25">
      <c r="A43" s="386" t="s">
        <v>296</v>
      </c>
      <c r="B43" s="335"/>
      <c r="C43" s="335"/>
      <c r="D43" s="335"/>
      <c r="E43" s="335"/>
      <c r="F43" s="388" t="s">
        <v>290</v>
      </c>
      <c r="G43" s="337"/>
      <c r="H43" s="317" t="s">
        <v>358</v>
      </c>
      <c r="I43" s="339"/>
      <c r="J43" s="339"/>
      <c r="K43" s="339"/>
      <c r="L43" s="340"/>
    </row>
    <row r="44" spans="1:15" ht="42.75" customHeight="1" thickBot="1" x14ac:dyDescent="0.25">
      <c r="A44" s="386"/>
      <c r="B44" s="335"/>
      <c r="C44" s="335"/>
      <c r="D44" s="335"/>
      <c r="E44" s="335"/>
      <c r="F44" s="336"/>
      <c r="G44" s="337"/>
      <c r="H44" s="317"/>
      <c r="I44" s="379"/>
      <c r="J44" s="379"/>
      <c r="K44" s="379"/>
      <c r="L44" s="380"/>
    </row>
    <row r="45" spans="1:15" ht="12" customHeight="1" thickBot="1" x14ac:dyDescent="0.25">
      <c r="A45" s="58"/>
      <c r="B45" s="249"/>
      <c r="C45" s="249"/>
      <c r="D45" s="249"/>
      <c r="E45" s="250"/>
      <c r="F45" s="245"/>
      <c r="G45" s="246"/>
      <c r="H45" s="55"/>
      <c r="I45" s="247"/>
      <c r="J45" s="247"/>
      <c r="K45" s="247"/>
      <c r="L45" s="248"/>
    </row>
    <row r="46" spans="1:15" ht="24.75" customHeight="1" x14ac:dyDescent="0.2">
      <c r="O46" s="32"/>
    </row>
    <row r="47" spans="1:15" ht="24.75" customHeight="1" thickBot="1" x14ac:dyDescent="0.25">
      <c r="A47" s="1" t="s">
        <v>21</v>
      </c>
      <c r="O47" s="32"/>
    </row>
    <row r="48" spans="1:15" ht="24.75" customHeight="1" thickBot="1" x14ac:dyDescent="0.25">
      <c r="A48" s="328" t="s">
        <v>18</v>
      </c>
      <c r="B48" s="329"/>
      <c r="C48" s="329"/>
      <c r="D48" s="329"/>
      <c r="E48" s="329"/>
      <c r="F48" s="319" t="s">
        <v>19</v>
      </c>
      <c r="G48" s="320"/>
      <c r="H48" s="331" t="s">
        <v>69</v>
      </c>
      <c r="I48" s="332"/>
      <c r="J48" s="332"/>
      <c r="K48" s="332"/>
      <c r="L48" s="333"/>
      <c r="O48" s="32"/>
    </row>
    <row r="49" spans="1:15" ht="115.5" customHeight="1" thickBot="1" x14ac:dyDescent="0.25">
      <c r="A49" s="413" t="s">
        <v>359</v>
      </c>
      <c r="B49" s="414"/>
      <c r="C49" s="414"/>
      <c r="D49" s="414"/>
      <c r="E49" s="414"/>
      <c r="F49" s="415" t="s">
        <v>362</v>
      </c>
      <c r="G49" s="416"/>
      <c r="H49" s="317" t="s">
        <v>365</v>
      </c>
      <c r="I49" s="315"/>
      <c r="J49" s="315"/>
      <c r="K49" s="315"/>
      <c r="L49" s="318"/>
    </row>
    <row r="50" spans="1:15" ht="115.5" customHeight="1" thickBot="1" x14ac:dyDescent="0.25">
      <c r="A50" s="406" t="s">
        <v>360</v>
      </c>
      <c r="B50" s="407"/>
      <c r="C50" s="407"/>
      <c r="D50" s="407"/>
      <c r="E50" s="407"/>
      <c r="F50" s="438" t="s">
        <v>363</v>
      </c>
      <c r="G50" s="409"/>
      <c r="H50" s="410"/>
      <c r="I50" s="411"/>
      <c r="J50" s="411"/>
      <c r="K50" s="411"/>
      <c r="L50" s="412"/>
    </row>
    <row r="51" spans="1:15" ht="115.5" customHeight="1" thickBot="1" x14ac:dyDescent="0.25">
      <c r="A51" s="386" t="s">
        <v>361</v>
      </c>
      <c r="B51" s="335"/>
      <c r="C51" s="335"/>
      <c r="D51" s="335"/>
      <c r="E51" s="335"/>
      <c r="F51" s="388" t="s">
        <v>364</v>
      </c>
      <c r="G51" s="337"/>
      <c r="H51" s="338"/>
      <c r="I51" s="339"/>
      <c r="J51" s="339"/>
      <c r="K51" s="339"/>
      <c r="L51" s="340"/>
    </row>
    <row r="53" spans="1:15" ht="24.75" customHeight="1" thickBot="1" x14ac:dyDescent="0.25">
      <c r="A53" s="50" t="s">
        <v>64</v>
      </c>
      <c r="O53" s="32"/>
    </row>
    <row r="54" spans="1:15" ht="24.75" customHeight="1" thickBot="1" x14ac:dyDescent="0.25">
      <c r="A54" s="365" t="s">
        <v>18</v>
      </c>
      <c r="B54" s="359"/>
      <c r="C54" s="359"/>
      <c r="D54" s="359"/>
      <c r="E54" s="359"/>
      <c r="F54" s="419" t="s">
        <v>65</v>
      </c>
      <c r="G54" s="420"/>
      <c r="H54" s="421" t="s">
        <v>66</v>
      </c>
      <c r="I54" s="422"/>
      <c r="J54" s="419" t="s">
        <v>67</v>
      </c>
      <c r="K54" s="423"/>
      <c r="L54" s="423"/>
      <c r="M54" s="423"/>
      <c r="N54" s="424"/>
      <c r="O54" s="32"/>
    </row>
    <row r="55" spans="1:15" ht="66.75" customHeight="1" thickBot="1" x14ac:dyDescent="0.25">
      <c r="A55" s="389" t="s">
        <v>295</v>
      </c>
      <c r="B55" s="390"/>
      <c r="C55" s="390"/>
      <c r="D55" s="390"/>
      <c r="E55" s="390"/>
      <c r="F55" s="391" t="s">
        <v>165</v>
      </c>
      <c r="G55" s="392"/>
      <c r="H55" s="393" t="s">
        <v>294</v>
      </c>
      <c r="I55" s="394"/>
      <c r="J55" s="395" t="s">
        <v>289</v>
      </c>
      <c r="K55" s="396"/>
      <c r="L55" s="396"/>
      <c r="M55" s="396"/>
      <c r="N55" s="397"/>
    </row>
    <row r="56" spans="1:15" ht="13.5" thickBot="1" x14ac:dyDescent="0.25">
      <c r="A56" s="425"/>
      <c r="B56" s="407"/>
      <c r="C56" s="407"/>
      <c r="D56" s="407"/>
      <c r="E56" s="407"/>
      <c r="F56" s="408"/>
      <c r="G56" s="409"/>
      <c r="H56" s="426"/>
      <c r="I56" s="427"/>
      <c r="J56" s="428"/>
      <c r="K56" s="429"/>
      <c r="L56" s="429"/>
      <c r="M56" s="429"/>
      <c r="N56" s="430"/>
    </row>
    <row r="57" spans="1:15" ht="13.5" thickBot="1" x14ac:dyDescent="0.25">
      <c r="A57" s="50" t="s">
        <v>68</v>
      </c>
    </row>
    <row r="58" spans="1:15" ht="13.5" thickBot="1" x14ac:dyDescent="0.25">
      <c r="A58" s="328" t="s">
        <v>18</v>
      </c>
      <c r="B58" s="329"/>
      <c r="C58" s="329"/>
      <c r="D58" s="329"/>
      <c r="E58" s="329"/>
      <c r="F58" s="319" t="s">
        <v>19</v>
      </c>
      <c r="G58" s="320"/>
      <c r="H58" s="319" t="s">
        <v>20</v>
      </c>
      <c r="I58" s="329"/>
      <c r="J58" s="329"/>
      <c r="K58" s="329"/>
      <c r="L58" s="330"/>
    </row>
    <row r="59" spans="1:15" ht="13.5" customHeight="1" thickBot="1" x14ac:dyDescent="0.25">
      <c r="A59" s="341"/>
      <c r="B59" s="342"/>
      <c r="C59" s="342"/>
      <c r="D59" s="342"/>
      <c r="E59" s="342"/>
      <c r="F59" s="309"/>
      <c r="G59" s="310"/>
      <c r="H59" s="311"/>
      <c r="I59" s="312"/>
      <c r="J59" s="312"/>
      <c r="K59" s="312"/>
      <c r="L59" s="313"/>
    </row>
    <row r="60" spans="1:15" ht="32.25" customHeight="1" thickBot="1" x14ac:dyDescent="0.25">
      <c r="A60" s="341"/>
      <c r="B60" s="342"/>
      <c r="C60" s="342"/>
      <c r="D60" s="342"/>
      <c r="E60" s="342"/>
      <c r="F60" s="309"/>
      <c r="G60" s="310"/>
      <c r="H60" s="343"/>
      <c r="I60" s="312"/>
      <c r="J60" s="312"/>
      <c r="K60" s="312"/>
      <c r="L60" s="313"/>
    </row>
    <row r="61" spans="1:15" x14ac:dyDescent="0.2">
      <c r="A61" s="341"/>
      <c r="B61" s="342"/>
      <c r="C61" s="342"/>
      <c r="D61" s="342"/>
      <c r="E61" s="342"/>
      <c r="F61" s="309"/>
      <c r="G61" s="310"/>
      <c r="H61" s="343"/>
      <c r="I61" s="312"/>
      <c r="J61" s="312"/>
      <c r="K61" s="312"/>
      <c r="L61" s="313"/>
    </row>
  </sheetData>
  <mergeCells count="98">
    <mergeCell ref="B14:F14"/>
    <mergeCell ref="G14:K14"/>
    <mergeCell ref="A60:E60"/>
    <mergeCell ref="F60:G60"/>
    <mergeCell ref="H60:L60"/>
    <mergeCell ref="A55:E55"/>
    <mergeCell ref="F55:G55"/>
    <mergeCell ref="H55:I55"/>
    <mergeCell ref="J55:N55"/>
    <mergeCell ref="A56:E56"/>
    <mergeCell ref="F56:G56"/>
    <mergeCell ref="H56:I56"/>
    <mergeCell ref="J56:N56"/>
    <mergeCell ref="A51:E51"/>
    <mergeCell ref="F51:G51"/>
    <mergeCell ref="H51:L51"/>
    <mergeCell ref="A61:E61"/>
    <mergeCell ref="F61:G61"/>
    <mergeCell ref="H61:L61"/>
    <mergeCell ref="A58:E58"/>
    <mergeCell ref="F58:G58"/>
    <mergeCell ref="H58:L58"/>
    <mergeCell ref="A59:E59"/>
    <mergeCell ref="F59:G59"/>
    <mergeCell ref="H59:L59"/>
    <mergeCell ref="A54:E54"/>
    <mergeCell ref="F54:G54"/>
    <mergeCell ref="H54:I54"/>
    <mergeCell ref="J54:N54"/>
    <mergeCell ref="A49:E49"/>
    <mergeCell ref="F49:G49"/>
    <mergeCell ref="H49:L49"/>
    <mergeCell ref="A50:E50"/>
    <mergeCell ref="F50:G50"/>
    <mergeCell ref="H50:L50"/>
    <mergeCell ref="A44:E44"/>
    <mergeCell ref="F44:G44"/>
    <mergeCell ref="H44:L44"/>
    <mergeCell ref="A48:E48"/>
    <mergeCell ref="F48:G48"/>
    <mergeCell ref="H48:L48"/>
    <mergeCell ref="A43:E43"/>
    <mergeCell ref="F43:G43"/>
    <mergeCell ref="H43:L43"/>
    <mergeCell ref="A33:E33"/>
    <mergeCell ref="F33:J33"/>
    <mergeCell ref="A34:E34"/>
    <mergeCell ref="F34:J34"/>
    <mergeCell ref="A38:E38"/>
    <mergeCell ref="F38:J38"/>
    <mergeCell ref="A39:E39"/>
    <mergeCell ref="F39:J39"/>
    <mergeCell ref="A42:E42"/>
    <mergeCell ref="F42:G42"/>
    <mergeCell ref="H42:L42"/>
    <mergeCell ref="A35:E35"/>
    <mergeCell ref="F35:J35"/>
    <mergeCell ref="A28:E28"/>
    <mergeCell ref="F28:J28"/>
    <mergeCell ref="A31:E31"/>
    <mergeCell ref="F31:J31"/>
    <mergeCell ref="A32:E32"/>
    <mergeCell ref="F32:J32"/>
    <mergeCell ref="B22:F22"/>
    <mergeCell ref="G22:K22"/>
    <mergeCell ref="A26:E26"/>
    <mergeCell ref="F26:J26"/>
    <mergeCell ref="A27:E27"/>
    <mergeCell ref="F27:J27"/>
    <mergeCell ref="B21:F21"/>
    <mergeCell ref="G21:K21"/>
    <mergeCell ref="B15:F15"/>
    <mergeCell ref="G15:K15"/>
    <mergeCell ref="B16:F16"/>
    <mergeCell ref="G16:K16"/>
    <mergeCell ref="B17:F17"/>
    <mergeCell ref="G17:K17"/>
    <mergeCell ref="B18:F18"/>
    <mergeCell ref="G18:K18"/>
    <mergeCell ref="B19:F19"/>
    <mergeCell ref="G19:K19"/>
    <mergeCell ref="B20:F20"/>
    <mergeCell ref="A37:E37"/>
    <mergeCell ref="F37:J37"/>
    <mergeCell ref="A36:E36"/>
    <mergeCell ref="F36:J36"/>
    <mergeCell ref="B8:F8"/>
    <mergeCell ref="G8:K8"/>
    <mergeCell ref="B9:F9"/>
    <mergeCell ref="G9:K9"/>
    <mergeCell ref="B10:F10"/>
    <mergeCell ref="G10:K10"/>
    <mergeCell ref="B11:F11"/>
    <mergeCell ref="G11:K11"/>
    <mergeCell ref="B12:F12"/>
    <mergeCell ref="G12:K12"/>
    <mergeCell ref="B13:F13"/>
    <mergeCell ref="G13:K13"/>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59"/>
  <sheetViews>
    <sheetView topLeftCell="A16"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c r="C9" s="362"/>
      <c r="D9" s="362"/>
      <c r="E9" s="362"/>
      <c r="F9" s="362"/>
      <c r="G9" s="363"/>
      <c r="H9" s="363"/>
      <c r="I9" s="363"/>
      <c r="J9" s="363"/>
      <c r="K9" s="364"/>
      <c r="N9" s="163"/>
    </row>
    <row r="10" spans="1:14" ht="217.5" customHeight="1" x14ac:dyDescent="0.2">
      <c r="A10" s="65" t="s">
        <v>52</v>
      </c>
      <c r="B10" s="346" t="s">
        <v>190</v>
      </c>
      <c r="C10" s="347"/>
      <c r="D10" s="347"/>
      <c r="E10" s="347"/>
      <c r="F10" s="347"/>
      <c r="G10" s="366" t="s">
        <v>396</v>
      </c>
      <c r="H10" s="366"/>
      <c r="I10" s="366"/>
      <c r="J10" s="366"/>
      <c r="K10" s="367"/>
    </row>
    <row r="11" spans="1:14" ht="143.25" customHeight="1" x14ac:dyDescent="0.2">
      <c r="A11" s="65" t="s">
        <v>48</v>
      </c>
      <c r="B11" s="346" t="s">
        <v>407</v>
      </c>
      <c r="C11" s="347"/>
      <c r="D11" s="347"/>
      <c r="E11" s="347"/>
      <c r="F11" s="347"/>
      <c r="G11" s="366"/>
      <c r="H11" s="366"/>
      <c r="I11" s="366"/>
      <c r="J11" s="366"/>
      <c r="K11" s="367"/>
    </row>
    <row r="12" spans="1:14" ht="241.5" customHeight="1" x14ac:dyDescent="0.2">
      <c r="A12" s="65" t="s">
        <v>60</v>
      </c>
      <c r="B12" s="346"/>
      <c r="C12" s="347"/>
      <c r="D12" s="347"/>
      <c r="E12" s="347"/>
      <c r="F12" s="347"/>
      <c r="G12" s="366" t="s">
        <v>406</v>
      </c>
      <c r="H12" s="366"/>
      <c r="I12" s="366"/>
      <c r="J12" s="366"/>
      <c r="K12" s="367"/>
    </row>
    <row r="13" spans="1:14" ht="243.75" customHeight="1" x14ac:dyDescent="0.2">
      <c r="A13" s="65" t="s">
        <v>59</v>
      </c>
      <c r="B13" s="346" t="s">
        <v>397</v>
      </c>
      <c r="C13" s="347"/>
      <c r="D13" s="347"/>
      <c r="E13" s="347"/>
      <c r="F13" s="347"/>
      <c r="G13" s="347" t="s">
        <v>398</v>
      </c>
      <c r="H13" s="347"/>
      <c r="I13" s="347"/>
      <c r="J13" s="347"/>
      <c r="K13" s="348"/>
    </row>
    <row r="14" spans="1:14" ht="290.25" customHeight="1" x14ac:dyDescent="0.2">
      <c r="A14" s="65" t="s">
        <v>345</v>
      </c>
      <c r="B14" s="447" t="s">
        <v>409</v>
      </c>
      <c r="C14" s="445"/>
      <c r="D14" s="445"/>
      <c r="E14" s="445"/>
      <c r="F14" s="448"/>
      <c r="G14" s="444" t="s">
        <v>403</v>
      </c>
      <c r="H14" s="445"/>
      <c r="I14" s="445"/>
      <c r="J14" s="445"/>
      <c r="K14" s="446"/>
    </row>
    <row r="15" spans="1:14" ht="129.75" customHeight="1" x14ac:dyDescent="0.2">
      <c r="A15" s="65" t="s">
        <v>74</v>
      </c>
      <c r="B15" s="346" t="s">
        <v>404</v>
      </c>
      <c r="C15" s="347"/>
      <c r="D15" s="347"/>
      <c r="E15" s="347"/>
      <c r="F15" s="347"/>
      <c r="G15" s="347"/>
      <c r="H15" s="347"/>
      <c r="I15" s="347"/>
      <c r="J15" s="347"/>
      <c r="K15" s="348"/>
    </row>
    <row r="16" spans="1:14" ht="134.25" customHeight="1" x14ac:dyDescent="0.2">
      <c r="A16" s="66" t="s">
        <v>70</v>
      </c>
      <c r="B16" s="346" t="s">
        <v>405</v>
      </c>
      <c r="C16" s="347"/>
      <c r="D16" s="347"/>
      <c r="E16" s="347"/>
      <c r="F16" s="347"/>
      <c r="G16" s="347"/>
      <c r="H16" s="347"/>
      <c r="I16" s="347"/>
      <c r="J16" s="347"/>
      <c r="K16" s="348"/>
    </row>
    <row r="17" spans="1:11" ht="212.25" customHeight="1" x14ac:dyDescent="0.2">
      <c r="A17" s="65" t="s">
        <v>1</v>
      </c>
      <c r="B17" s="346"/>
      <c r="C17" s="347"/>
      <c r="D17" s="347"/>
      <c r="E17" s="347"/>
      <c r="F17" s="347"/>
      <c r="G17" s="347"/>
      <c r="H17" s="347"/>
      <c r="I17" s="347"/>
      <c r="J17" s="347"/>
      <c r="K17" s="348"/>
    </row>
    <row r="18" spans="1:11" ht="158.25" customHeight="1" x14ac:dyDescent="0.2">
      <c r="A18" s="65" t="s">
        <v>51</v>
      </c>
      <c r="B18" s="346" t="s">
        <v>402</v>
      </c>
      <c r="C18" s="347"/>
      <c r="D18" s="347"/>
      <c r="E18" s="347"/>
      <c r="F18" s="347"/>
      <c r="G18" s="347" t="s">
        <v>401</v>
      </c>
      <c r="H18" s="347"/>
      <c r="I18" s="347"/>
      <c r="J18" s="347"/>
      <c r="K18" s="348"/>
    </row>
    <row r="19" spans="1:11" ht="146.25" customHeight="1" thickBot="1" x14ac:dyDescent="0.25">
      <c r="A19" s="67" t="s">
        <v>110</v>
      </c>
      <c r="B19" s="357" t="s">
        <v>399</v>
      </c>
      <c r="C19" s="355"/>
      <c r="D19" s="355"/>
      <c r="E19" s="355"/>
      <c r="F19" s="358"/>
      <c r="G19" s="354" t="s">
        <v>400</v>
      </c>
      <c r="H19" s="355"/>
      <c r="I19" s="355"/>
      <c r="J19" s="355"/>
      <c r="K19" s="356"/>
    </row>
    <row r="20" spans="1:11" ht="146.25" customHeight="1" thickBot="1" x14ac:dyDescent="0.25">
      <c r="A20" s="67" t="s">
        <v>111</v>
      </c>
      <c r="B20" s="431"/>
      <c r="C20" s="432"/>
      <c r="D20" s="432"/>
      <c r="E20" s="432"/>
      <c r="F20" s="433"/>
      <c r="G20" s="284"/>
      <c r="H20" s="285"/>
      <c r="I20" s="285"/>
      <c r="J20" s="285"/>
      <c r="K20" s="286"/>
    </row>
    <row r="21" spans="1:11" ht="146.25" customHeight="1" thickBot="1" x14ac:dyDescent="0.25">
      <c r="A21" s="67" t="s">
        <v>273</v>
      </c>
      <c r="B21" s="449" t="s">
        <v>393</v>
      </c>
      <c r="C21" s="450"/>
      <c r="D21" s="450"/>
      <c r="E21" s="450"/>
      <c r="F21" s="451"/>
      <c r="G21" s="401" t="s">
        <v>394</v>
      </c>
      <c r="H21" s="399"/>
      <c r="I21" s="399"/>
      <c r="J21" s="399"/>
      <c r="K21" s="402"/>
    </row>
    <row r="22" spans="1:11" ht="180" customHeight="1" thickBot="1" x14ac:dyDescent="0.25">
      <c r="A22" s="67" t="s">
        <v>274</v>
      </c>
      <c r="B22" s="357" t="s">
        <v>391</v>
      </c>
      <c r="C22" s="355"/>
      <c r="D22" s="355"/>
      <c r="E22" s="355"/>
      <c r="F22" s="358"/>
      <c r="G22" s="354" t="s">
        <v>392</v>
      </c>
      <c r="H22" s="355"/>
      <c r="I22" s="355"/>
      <c r="J22" s="355"/>
      <c r="K22" s="356"/>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328" t="s">
        <v>14</v>
      </c>
      <c r="B26" s="329"/>
      <c r="C26" s="329"/>
      <c r="D26" s="329"/>
      <c r="E26" s="329"/>
      <c r="F26" s="329" t="s">
        <v>16</v>
      </c>
      <c r="G26" s="329"/>
      <c r="H26" s="329"/>
      <c r="I26" s="329"/>
      <c r="J26" s="330"/>
    </row>
    <row r="27" spans="1:11" ht="81" customHeight="1" thickBot="1" x14ac:dyDescent="0.25">
      <c r="A27" s="314" t="s">
        <v>135</v>
      </c>
      <c r="B27" s="315"/>
      <c r="C27" s="315"/>
      <c r="D27" s="315"/>
      <c r="E27" s="316"/>
      <c r="F27" s="317" t="s">
        <v>136</v>
      </c>
      <c r="G27" s="315"/>
      <c r="H27" s="315"/>
      <c r="I27" s="315"/>
      <c r="J27" s="318"/>
    </row>
    <row r="28" spans="1:11" ht="13.5" thickBot="1" x14ac:dyDescent="0.25">
      <c r="A28" s="351"/>
      <c r="B28" s="352"/>
      <c r="C28" s="352"/>
      <c r="D28" s="352"/>
      <c r="E28" s="353"/>
      <c r="F28" s="349"/>
      <c r="G28" s="349"/>
      <c r="H28" s="349"/>
      <c r="I28" s="349"/>
      <c r="J28" s="350"/>
    </row>
    <row r="30" spans="1:11" ht="13.5" thickBot="1" x14ac:dyDescent="0.25">
      <c r="A30" s="1" t="s">
        <v>43</v>
      </c>
    </row>
    <row r="31" spans="1:11" ht="13.5" thickBot="1" x14ac:dyDescent="0.25">
      <c r="A31" s="328" t="s">
        <v>14</v>
      </c>
      <c r="B31" s="329"/>
      <c r="C31" s="329"/>
      <c r="D31" s="329"/>
      <c r="E31" s="329"/>
      <c r="F31" s="329" t="s">
        <v>16</v>
      </c>
      <c r="G31" s="329"/>
      <c r="H31" s="329"/>
      <c r="I31" s="329"/>
      <c r="J31" s="330"/>
    </row>
    <row r="32" spans="1:11" ht="57" customHeight="1" thickBot="1" x14ac:dyDescent="0.25">
      <c r="A32" s="403" t="s">
        <v>292</v>
      </c>
      <c r="B32" s="404"/>
      <c r="C32" s="404"/>
      <c r="D32" s="404"/>
      <c r="E32" s="404"/>
      <c r="F32" s="404" t="s">
        <v>293</v>
      </c>
      <c r="G32" s="404"/>
      <c r="H32" s="404"/>
      <c r="I32" s="404"/>
      <c r="J32" s="405"/>
    </row>
    <row r="33" spans="1:15" ht="93" customHeight="1" thickBot="1" x14ac:dyDescent="0.25">
      <c r="A33" s="341" t="s">
        <v>144</v>
      </c>
      <c r="B33" s="342"/>
      <c r="C33" s="342"/>
      <c r="D33" s="342"/>
      <c r="E33" s="342"/>
      <c r="F33" s="343" t="s">
        <v>195</v>
      </c>
      <c r="G33" s="344"/>
      <c r="H33" s="344"/>
      <c r="I33" s="344"/>
      <c r="J33" s="345"/>
    </row>
    <row r="34" spans="1:15" ht="93" customHeight="1" thickBot="1" x14ac:dyDescent="0.25">
      <c r="A34" s="314" t="s">
        <v>367</v>
      </c>
      <c r="B34" s="379"/>
      <c r="C34" s="379"/>
      <c r="D34" s="379"/>
      <c r="E34" s="434"/>
      <c r="F34" s="435" t="s">
        <v>368</v>
      </c>
      <c r="G34" s="436"/>
      <c r="H34" s="436"/>
      <c r="I34" s="436"/>
      <c r="J34" s="437"/>
    </row>
    <row r="35" spans="1:15" ht="93" customHeight="1" thickBot="1" x14ac:dyDescent="0.25">
      <c r="A35" s="314" t="s">
        <v>371</v>
      </c>
      <c r="B35" s="379"/>
      <c r="C35" s="379"/>
      <c r="D35" s="379"/>
      <c r="E35" s="434"/>
      <c r="F35" s="435" t="s">
        <v>423</v>
      </c>
      <c r="G35" s="436"/>
      <c r="H35" s="436"/>
      <c r="I35" s="436"/>
      <c r="J35" s="437"/>
    </row>
    <row r="36" spans="1:15" ht="93" customHeight="1" thickBot="1" x14ac:dyDescent="0.25">
      <c r="A36" s="314" t="s">
        <v>369</v>
      </c>
      <c r="B36" s="379"/>
      <c r="C36" s="379"/>
      <c r="D36" s="379"/>
      <c r="E36" s="434"/>
      <c r="F36" s="435" t="s">
        <v>370</v>
      </c>
      <c r="G36" s="436"/>
      <c r="H36" s="436"/>
      <c r="I36" s="436"/>
      <c r="J36" s="437"/>
    </row>
    <row r="37" spans="1:15" ht="135" customHeight="1" x14ac:dyDescent="0.2">
      <c r="A37" s="341" t="s">
        <v>141</v>
      </c>
      <c r="B37" s="342"/>
      <c r="C37" s="342"/>
      <c r="D37" s="342"/>
      <c r="E37" s="342"/>
      <c r="F37" s="343" t="s">
        <v>143</v>
      </c>
      <c r="G37" s="344"/>
      <c r="H37" s="344"/>
      <c r="I37" s="344"/>
      <c r="J37" s="345"/>
    </row>
    <row r="39" spans="1:15" ht="13.5" thickBot="1" x14ac:dyDescent="0.25">
      <c r="A39" s="1" t="s">
        <v>17</v>
      </c>
    </row>
    <row r="40" spans="1:15" ht="13.5" thickBot="1" x14ac:dyDescent="0.25">
      <c r="A40" s="328" t="s">
        <v>18</v>
      </c>
      <c r="B40" s="329"/>
      <c r="C40" s="329"/>
      <c r="D40" s="329"/>
      <c r="E40" s="329"/>
      <c r="F40" s="319" t="s">
        <v>19</v>
      </c>
      <c r="G40" s="320"/>
      <c r="H40" s="319" t="s">
        <v>20</v>
      </c>
      <c r="I40" s="329"/>
      <c r="J40" s="329"/>
      <c r="K40" s="329"/>
      <c r="L40" s="330"/>
    </row>
    <row r="41" spans="1:15" ht="42.75" customHeight="1" thickBot="1" x14ac:dyDescent="0.25">
      <c r="A41" s="386" t="s">
        <v>415</v>
      </c>
      <c r="B41" s="335"/>
      <c r="C41" s="335"/>
      <c r="D41" s="335"/>
      <c r="E41" s="335"/>
      <c r="F41" s="388" t="s">
        <v>416</v>
      </c>
      <c r="G41" s="337"/>
      <c r="H41" s="317" t="s">
        <v>408</v>
      </c>
      <c r="I41" s="339"/>
      <c r="J41" s="339"/>
      <c r="K41" s="339"/>
      <c r="L41" s="340"/>
    </row>
    <row r="42" spans="1:15" ht="57" customHeight="1" thickBot="1" x14ac:dyDescent="0.25">
      <c r="A42" s="386" t="s">
        <v>417</v>
      </c>
      <c r="B42" s="335"/>
      <c r="C42" s="335"/>
      <c r="D42" s="335"/>
      <c r="E42" s="335"/>
      <c r="F42" s="388" t="s">
        <v>363</v>
      </c>
      <c r="G42" s="337"/>
      <c r="H42" s="317" t="s">
        <v>420</v>
      </c>
      <c r="I42" s="379"/>
      <c r="J42" s="379"/>
      <c r="K42" s="379"/>
      <c r="L42" s="380"/>
    </row>
    <row r="43" spans="1:15" ht="25.5" customHeight="1" thickBot="1" x14ac:dyDescent="0.25">
      <c r="A43" s="314" t="s">
        <v>361</v>
      </c>
      <c r="B43" s="374"/>
      <c r="C43" s="374"/>
      <c r="D43" s="374"/>
      <c r="E43" s="375"/>
      <c r="F43" s="376" t="s">
        <v>364</v>
      </c>
      <c r="G43" s="452"/>
      <c r="H43" s="317" t="s">
        <v>419</v>
      </c>
      <c r="I43" s="374"/>
      <c r="J43" s="374"/>
      <c r="K43" s="374"/>
      <c r="L43" s="453"/>
    </row>
    <row r="44" spans="1:15" ht="24.75" customHeight="1" x14ac:dyDescent="0.2">
      <c r="O44" s="32"/>
    </row>
    <row r="45" spans="1:15" ht="24.75" customHeight="1" thickBot="1" x14ac:dyDescent="0.25">
      <c r="A45" s="1" t="s">
        <v>21</v>
      </c>
      <c r="O45" s="32"/>
    </row>
    <row r="46" spans="1:15" ht="24.75" customHeight="1" thickBot="1" x14ac:dyDescent="0.25">
      <c r="A46" s="328" t="s">
        <v>18</v>
      </c>
      <c r="B46" s="329"/>
      <c r="C46" s="329"/>
      <c r="D46" s="329"/>
      <c r="E46" s="329"/>
      <c r="F46" s="319" t="s">
        <v>19</v>
      </c>
      <c r="G46" s="320"/>
      <c r="H46" s="331" t="s">
        <v>69</v>
      </c>
      <c r="I46" s="332"/>
      <c r="J46" s="332"/>
      <c r="K46" s="332"/>
      <c r="L46" s="333"/>
      <c r="O46" s="32"/>
    </row>
    <row r="47" spans="1:15" ht="115.5" customHeight="1" thickBot="1" x14ac:dyDescent="0.25">
      <c r="A47" s="413" t="s">
        <v>418</v>
      </c>
      <c r="B47" s="414"/>
      <c r="C47" s="414"/>
      <c r="D47" s="414"/>
      <c r="E47" s="414"/>
      <c r="F47" s="415"/>
      <c r="G47" s="416"/>
      <c r="H47" s="317"/>
      <c r="I47" s="315"/>
      <c r="J47" s="315"/>
      <c r="K47" s="315"/>
      <c r="L47" s="318"/>
    </row>
    <row r="48" spans="1:15" ht="115.5" customHeight="1" thickBot="1" x14ac:dyDescent="0.25">
      <c r="A48" s="406"/>
      <c r="B48" s="407"/>
      <c r="C48" s="407"/>
      <c r="D48" s="407"/>
      <c r="E48" s="407"/>
      <c r="F48" s="438"/>
      <c r="G48" s="409"/>
      <c r="H48" s="410"/>
      <c r="I48" s="411"/>
      <c r="J48" s="411"/>
      <c r="K48" s="411"/>
      <c r="L48" s="412"/>
    </row>
    <row r="49" spans="1:15" ht="115.5" customHeight="1" thickBot="1" x14ac:dyDescent="0.25">
      <c r="A49" s="386"/>
      <c r="B49" s="335"/>
      <c r="C49" s="335"/>
      <c r="D49" s="335"/>
      <c r="E49" s="335"/>
      <c r="F49" s="388"/>
      <c r="G49" s="337"/>
      <c r="H49" s="338"/>
      <c r="I49" s="339"/>
      <c r="J49" s="339"/>
      <c r="K49" s="339"/>
      <c r="L49" s="340"/>
    </row>
    <row r="51" spans="1:15" ht="24.75" customHeight="1" thickBot="1" x14ac:dyDescent="0.25">
      <c r="A51" s="50" t="s">
        <v>64</v>
      </c>
      <c r="O51" s="32"/>
    </row>
    <row r="52" spans="1:15" ht="24.75" customHeight="1" thickBot="1" x14ac:dyDescent="0.25">
      <c r="A52" s="365" t="s">
        <v>18</v>
      </c>
      <c r="B52" s="359"/>
      <c r="C52" s="359"/>
      <c r="D52" s="359"/>
      <c r="E52" s="359"/>
      <c r="F52" s="419" t="s">
        <v>65</v>
      </c>
      <c r="G52" s="420"/>
      <c r="H52" s="421" t="s">
        <v>66</v>
      </c>
      <c r="I52" s="422"/>
      <c r="J52" s="419" t="s">
        <v>67</v>
      </c>
      <c r="K52" s="423"/>
      <c r="L52" s="423"/>
      <c r="M52" s="423"/>
      <c r="N52" s="424"/>
      <c r="O52" s="32"/>
    </row>
    <row r="53" spans="1:15" ht="66.75" customHeight="1" thickBot="1" x14ac:dyDescent="0.25">
      <c r="A53" s="389" t="s">
        <v>361</v>
      </c>
      <c r="B53" s="390"/>
      <c r="C53" s="390"/>
      <c r="D53" s="390"/>
      <c r="E53" s="390"/>
      <c r="F53" s="391" t="s">
        <v>364</v>
      </c>
      <c r="G53" s="392"/>
      <c r="H53" s="393" t="s">
        <v>421</v>
      </c>
      <c r="I53" s="394"/>
      <c r="J53" s="395" t="s">
        <v>422</v>
      </c>
      <c r="K53" s="396"/>
      <c r="L53" s="396"/>
      <c r="M53" s="396"/>
      <c r="N53" s="397"/>
    </row>
    <row r="54" spans="1:15" ht="13.5" thickBot="1" x14ac:dyDescent="0.25">
      <c r="A54" s="425"/>
      <c r="B54" s="407"/>
      <c r="C54" s="407"/>
      <c r="D54" s="407"/>
      <c r="E54" s="407"/>
      <c r="F54" s="408"/>
      <c r="G54" s="409"/>
      <c r="H54" s="426"/>
      <c r="I54" s="427"/>
      <c r="J54" s="428"/>
      <c r="K54" s="429"/>
      <c r="L54" s="429"/>
      <c r="M54" s="429"/>
      <c r="N54" s="430"/>
    </row>
    <row r="55" spans="1:15" ht="13.5" thickBot="1" x14ac:dyDescent="0.25">
      <c r="A55" s="50" t="s">
        <v>68</v>
      </c>
    </row>
    <row r="56" spans="1:15" ht="13.5" thickBot="1" x14ac:dyDescent="0.25">
      <c r="A56" s="328" t="s">
        <v>18</v>
      </c>
      <c r="B56" s="329"/>
      <c r="C56" s="329"/>
      <c r="D56" s="329"/>
      <c r="E56" s="329"/>
      <c r="F56" s="319" t="s">
        <v>19</v>
      </c>
      <c r="G56" s="320"/>
      <c r="H56" s="319" t="s">
        <v>20</v>
      </c>
      <c r="I56" s="329"/>
      <c r="J56" s="329"/>
      <c r="K56" s="329"/>
      <c r="L56" s="330"/>
    </row>
    <row r="57" spans="1:15" ht="13.5" customHeight="1" thickBot="1" x14ac:dyDescent="0.25">
      <c r="A57" s="341"/>
      <c r="B57" s="342"/>
      <c r="C57" s="342"/>
      <c r="D57" s="342"/>
      <c r="E57" s="342"/>
      <c r="F57" s="309"/>
      <c r="G57" s="310"/>
      <c r="H57" s="311"/>
      <c r="I57" s="312"/>
      <c r="J57" s="312"/>
      <c r="K57" s="312"/>
      <c r="L57" s="313"/>
    </row>
    <row r="58" spans="1:15" ht="32.25" customHeight="1" thickBot="1" x14ac:dyDescent="0.25">
      <c r="A58" s="341"/>
      <c r="B58" s="342"/>
      <c r="C58" s="342"/>
      <c r="D58" s="342"/>
      <c r="E58" s="342"/>
      <c r="F58" s="309"/>
      <c r="G58" s="310"/>
      <c r="H58" s="343"/>
      <c r="I58" s="312"/>
      <c r="J58" s="312"/>
      <c r="K58" s="312"/>
      <c r="L58" s="313"/>
    </row>
    <row r="59" spans="1:15" x14ac:dyDescent="0.2">
      <c r="A59" s="341"/>
      <c r="B59" s="342"/>
      <c r="C59" s="342"/>
      <c r="D59" s="342"/>
      <c r="E59" s="342"/>
      <c r="F59" s="309"/>
      <c r="G59" s="310"/>
      <c r="H59" s="343"/>
      <c r="I59" s="312"/>
      <c r="J59" s="312"/>
      <c r="K59" s="312"/>
      <c r="L59" s="313"/>
    </row>
  </sheetData>
  <mergeCells count="97">
    <mergeCell ref="A56:E56"/>
    <mergeCell ref="F56:G56"/>
    <mergeCell ref="H56:L56"/>
    <mergeCell ref="A59:E59"/>
    <mergeCell ref="F59:G59"/>
    <mergeCell ref="H59:L59"/>
    <mergeCell ref="A57:E57"/>
    <mergeCell ref="F57:G57"/>
    <mergeCell ref="H57:L57"/>
    <mergeCell ref="A58:E58"/>
    <mergeCell ref="F58:G58"/>
    <mergeCell ref="H58:L58"/>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2:E42"/>
    <mergeCell ref="F42:G42"/>
    <mergeCell ref="H42:L42"/>
    <mergeCell ref="A46:E46"/>
    <mergeCell ref="F46:G46"/>
    <mergeCell ref="H46:L46"/>
    <mergeCell ref="A43:E43"/>
    <mergeCell ref="F43:G43"/>
    <mergeCell ref="H43:L43"/>
    <mergeCell ref="A40:E40"/>
    <mergeCell ref="F40:G40"/>
    <mergeCell ref="H40:L40"/>
    <mergeCell ref="A41:E41"/>
    <mergeCell ref="F41:G41"/>
    <mergeCell ref="H41:L41"/>
    <mergeCell ref="A35:E35"/>
    <mergeCell ref="F35:J35"/>
    <mergeCell ref="A36:E36"/>
    <mergeCell ref="F36:J36"/>
    <mergeCell ref="A37:E37"/>
    <mergeCell ref="F37:J37"/>
    <mergeCell ref="A32:E32"/>
    <mergeCell ref="F32:J32"/>
    <mergeCell ref="A33:E33"/>
    <mergeCell ref="F33:J33"/>
    <mergeCell ref="A34:E34"/>
    <mergeCell ref="F34:J34"/>
    <mergeCell ref="A27:E27"/>
    <mergeCell ref="F27:J27"/>
    <mergeCell ref="A28:E28"/>
    <mergeCell ref="F28:J28"/>
    <mergeCell ref="A31:E31"/>
    <mergeCell ref="F31:J31"/>
    <mergeCell ref="A26:E26"/>
    <mergeCell ref="F26:J26"/>
    <mergeCell ref="B17:F17"/>
    <mergeCell ref="G17:K17"/>
    <mergeCell ref="B18:F18"/>
    <mergeCell ref="G18:K18"/>
    <mergeCell ref="B19:F19"/>
    <mergeCell ref="G19:K19"/>
    <mergeCell ref="B20:F20"/>
    <mergeCell ref="B21:F21"/>
    <mergeCell ref="G21:K21"/>
    <mergeCell ref="B22:F22"/>
    <mergeCell ref="G22:K22"/>
    <mergeCell ref="G14:K14"/>
    <mergeCell ref="B15:F15"/>
    <mergeCell ref="G15:K15"/>
    <mergeCell ref="B16:F16"/>
    <mergeCell ref="G16:K16"/>
    <mergeCell ref="B14:F14"/>
    <mergeCell ref="B8:F8"/>
    <mergeCell ref="G8:K8"/>
    <mergeCell ref="B9:F9"/>
    <mergeCell ref="G9:K9"/>
    <mergeCell ref="B10:F10"/>
    <mergeCell ref="G10:K10"/>
    <mergeCell ref="B11:F11"/>
    <mergeCell ref="G11:K11"/>
    <mergeCell ref="B12:F12"/>
    <mergeCell ref="G12:K12"/>
    <mergeCell ref="B13:F13"/>
    <mergeCell ref="G13:K13"/>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59"/>
  <sheetViews>
    <sheetView topLeftCell="A19" workbookViewId="0">
      <selection activeCell="G16" sqref="G16:K16"/>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Q317</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365" t="s">
        <v>11</v>
      </c>
      <c r="C8" s="359"/>
      <c r="D8" s="359"/>
      <c r="E8" s="359"/>
      <c r="F8" s="360"/>
      <c r="G8" s="359" t="s">
        <v>12</v>
      </c>
      <c r="H8" s="359"/>
      <c r="I8" s="359"/>
      <c r="J8" s="359"/>
      <c r="K8" s="360"/>
    </row>
    <row r="9" spans="1:14" ht="122.25" customHeight="1" x14ac:dyDescent="0.2">
      <c r="A9" s="64" t="s">
        <v>58</v>
      </c>
      <c r="B9" s="361" t="s">
        <v>434</v>
      </c>
      <c r="C9" s="362"/>
      <c r="D9" s="362"/>
      <c r="E9" s="362"/>
      <c r="F9" s="362"/>
      <c r="G9" s="363"/>
      <c r="H9" s="363"/>
      <c r="I9" s="363"/>
      <c r="J9" s="363"/>
      <c r="K9" s="364"/>
      <c r="N9" s="163"/>
    </row>
    <row r="10" spans="1:14" ht="217.5" customHeight="1" x14ac:dyDescent="0.2">
      <c r="A10" s="65" t="s">
        <v>52</v>
      </c>
      <c r="B10" s="346" t="s">
        <v>190</v>
      </c>
      <c r="C10" s="347"/>
      <c r="D10" s="347"/>
      <c r="E10" s="347"/>
      <c r="F10" s="347"/>
      <c r="G10" s="366" t="s">
        <v>396</v>
      </c>
      <c r="H10" s="366"/>
      <c r="I10" s="366"/>
      <c r="J10" s="366"/>
      <c r="K10" s="367"/>
    </row>
    <row r="11" spans="1:14" ht="143.25" customHeight="1" x14ac:dyDescent="0.2">
      <c r="A11" s="65" t="s">
        <v>48</v>
      </c>
      <c r="B11" s="346"/>
      <c r="C11" s="347"/>
      <c r="D11" s="347"/>
      <c r="E11" s="347"/>
      <c r="F11" s="347"/>
      <c r="G11" s="366"/>
      <c r="H11" s="366"/>
      <c r="I11" s="366"/>
      <c r="J11" s="366"/>
      <c r="K11" s="367"/>
    </row>
    <row r="12" spans="1:14" ht="241.5" customHeight="1" x14ac:dyDescent="0.2">
      <c r="A12" s="65" t="s">
        <v>60</v>
      </c>
      <c r="B12" s="346" t="s">
        <v>433</v>
      </c>
      <c r="C12" s="347"/>
      <c r="D12" s="347"/>
      <c r="E12" s="347"/>
      <c r="F12" s="347"/>
      <c r="G12" s="366" t="s">
        <v>452</v>
      </c>
      <c r="H12" s="366"/>
      <c r="I12" s="366"/>
      <c r="J12" s="366"/>
      <c r="K12" s="367"/>
    </row>
    <row r="13" spans="1:14" ht="351.75" customHeight="1" x14ac:dyDescent="0.2">
      <c r="A13" s="65" t="s">
        <v>59</v>
      </c>
      <c r="B13" s="346" t="s">
        <v>429</v>
      </c>
      <c r="C13" s="347"/>
      <c r="D13" s="347"/>
      <c r="E13" s="347"/>
      <c r="F13" s="347"/>
      <c r="G13" s="347" t="s">
        <v>439</v>
      </c>
      <c r="H13" s="347"/>
      <c r="I13" s="347"/>
      <c r="J13" s="347"/>
      <c r="K13" s="348"/>
    </row>
    <row r="14" spans="1:14" ht="309" customHeight="1" x14ac:dyDescent="0.2">
      <c r="A14" s="65" t="s">
        <v>345</v>
      </c>
      <c r="B14" s="447" t="s">
        <v>453</v>
      </c>
      <c r="C14" s="445"/>
      <c r="D14" s="445"/>
      <c r="E14" s="445"/>
      <c r="F14" s="448"/>
      <c r="G14" s="444" t="s">
        <v>450</v>
      </c>
      <c r="H14" s="445"/>
      <c r="I14" s="445"/>
      <c r="J14" s="445"/>
      <c r="K14" s="446"/>
    </row>
    <row r="15" spans="1:14" ht="129.75" customHeight="1" x14ac:dyDescent="0.2">
      <c r="A15" s="65" t="s">
        <v>74</v>
      </c>
      <c r="B15" s="346"/>
      <c r="C15" s="347"/>
      <c r="D15" s="347"/>
      <c r="E15" s="347"/>
      <c r="F15" s="347"/>
      <c r="G15" s="347" t="s">
        <v>150</v>
      </c>
      <c r="H15" s="347"/>
      <c r="I15" s="347"/>
      <c r="J15" s="347"/>
      <c r="K15" s="348"/>
    </row>
    <row r="16" spans="1:14" ht="159.75" customHeight="1" x14ac:dyDescent="0.2">
      <c r="A16" s="66" t="s">
        <v>70</v>
      </c>
      <c r="B16" s="346" t="s">
        <v>436</v>
      </c>
      <c r="C16" s="347"/>
      <c r="D16" s="347"/>
      <c r="E16" s="347"/>
      <c r="F16" s="347"/>
      <c r="G16" s="347" t="s">
        <v>432</v>
      </c>
      <c r="H16" s="347"/>
      <c r="I16" s="347"/>
      <c r="J16" s="347"/>
      <c r="K16" s="348"/>
    </row>
    <row r="17" spans="1:11" ht="212.25" customHeight="1" x14ac:dyDescent="0.2">
      <c r="A17" s="65" t="s">
        <v>1</v>
      </c>
      <c r="B17" s="346"/>
      <c r="C17" s="347"/>
      <c r="D17" s="347"/>
      <c r="E17" s="347"/>
      <c r="F17" s="347"/>
      <c r="G17" s="347"/>
      <c r="H17" s="347"/>
      <c r="I17" s="347"/>
      <c r="J17" s="347"/>
      <c r="K17" s="348"/>
    </row>
    <row r="18" spans="1:11" ht="363.75" customHeight="1" x14ac:dyDescent="0.2">
      <c r="A18" s="65" t="s">
        <v>51</v>
      </c>
      <c r="B18" s="346" t="s">
        <v>430</v>
      </c>
      <c r="C18" s="347"/>
      <c r="D18" s="347"/>
      <c r="E18" s="347"/>
      <c r="F18" s="347"/>
      <c r="G18" s="347" t="s">
        <v>431</v>
      </c>
      <c r="H18" s="347"/>
      <c r="I18" s="347"/>
      <c r="J18" s="347"/>
      <c r="K18" s="348"/>
    </row>
    <row r="19" spans="1:11" ht="146.25" customHeight="1" thickBot="1" x14ac:dyDescent="0.25">
      <c r="A19" s="67" t="s">
        <v>110</v>
      </c>
      <c r="B19" s="357" t="s">
        <v>435</v>
      </c>
      <c r="C19" s="355"/>
      <c r="D19" s="355"/>
      <c r="E19" s="355"/>
      <c r="F19" s="358"/>
      <c r="G19" s="354"/>
      <c r="H19" s="355"/>
      <c r="I19" s="355"/>
      <c r="J19" s="355"/>
      <c r="K19" s="356"/>
    </row>
    <row r="20" spans="1:11" ht="146.25" customHeight="1" thickBot="1" x14ac:dyDescent="0.25">
      <c r="A20" s="67" t="s">
        <v>111</v>
      </c>
      <c r="B20" s="431"/>
      <c r="C20" s="432"/>
      <c r="D20" s="432"/>
      <c r="E20" s="432"/>
      <c r="F20" s="433"/>
      <c r="G20" s="287"/>
      <c r="H20" s="288"/>
      <c r="I20" s="288"/>
      <c r="J20" s="288"/>
      <c r="K20" s="289"/>
    </row>
    <row r="21" spans="1:11" ht="146.25" customHeight="1" thickBot="1" x14ac:dyDescent="0.25">
      <c r="A21" s="67" t="s">
        <v>273</v>
      </c>
      <c r="B21" s="449" t="s">
        <v>427</v>
      </c>
      <c r="C21" s="450"/>
      <c r="D21" s="450"/>
      <c r="E21" s="450"/>
      <c r="F21" s="451"/>
      <c r="G21" s="401" t="s">
        <v>428</v>
      </c>
      <c r="H21" s="399"/>
      <c r="I21" s="399"/>
      <c r="J21" s="399"/>
      <c r="K21" s="402"/>
    </row>
    <row r="22" spans="1:11" ht="180" customHeight="1" thickBot="1" x14ac:dyDescent="0.25">
      <c r="A22" s="67" t="s">
        <v>274</v>
      </c>
      <c r="B22" s="357" t="s">
        <v>437</v>
      </c>
      <c r="C22" s="355"/>
      <c r="D22" s="355"/>
      <c r="E22" s="355"/>
      <c r="F22" s="358"/>
      <c r="G22" s="354" t="s">
        <v>438</v>
      </c>
      <c r="H22" s="355"/>
      <c r="I22" s="355"/>
      <c r="J22" s="355"/>
      <c r="K22" s="356"/>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328" t="s">
        <v>14</v>
      </c>
      <c r="B26" s="329"/>
      <c r="C26" s="329"/>
      <c r="D26" s="329"/>
      <c r="E26" s="329"/>
      <c r="F26" s="329" t="s">
        <v>16</v>
      </c>
      <c r="G26" s="329"/>
      <c r="H26" s="329"/>
      <c r="I26" s="329"/>
      <c r="J26" s="330"/>
    </row>
    <row r="27" spans="1:11" ht="81" customHeight="1" thickBot="1" x14ac:dyDescent="0.25">
      <c r="A27" s="314" t="s">
        <v>135</v>
      </c>
      <c r="B27" s="315"/>
      <c r="C27" s="315"/>
      <c r="D27" s="315"/>
      <c r="E27" s="316"/>
      <c r="F27" s="317" t="s">
        <v>136</v>
      </c>
      <c r="G27" s="315"/>
      <c r="H27" s="315"/>
      <c r="I27" s="315"/>
      <c r="J27" s="318"/>
    </row>
    <row r="28" spans="1:11" ht="13.5" thickBot="1" x14ac:dyDescent="0.25">
      <c r="A28" s="351"/>
      <c r="B28" s="352"/>
      <c r="C28" s="352"/>
      <c r="D28" s="352"/>
      <c r="E28" s="353"/>
      <c r="F28" s="349"/>
      <c r="G28" s="349"/>
      <c r="H28" s="349"/>
      <c r="I28" s="349"/>
      <c r="J28" s="350"/>
    </row>
    <row r="30" spans="1:11" ht="13.5" thickBot="1" x14ac:dyDescent="0.25">
      <c r="A30" s="1" t="s">
        <v>43</v>
      </c>
    </row>
    <row r="31" spans="1:11" ht="13.5" thickBot="1" x14ac:dyDescent="0.25">
      <c r="A31" s="328" t="s">
        <v>14</v>
      </c>
      <c r="B31" s="329"/>
      <c r="C31" s="329"/>
      <c r="D31" s="329"/>
      <c r="E31" s="329"/>
      <c r="F31" s="329" t="s">
        <v>16</v>
      </c>
      <c r="G31" s="329"/>
      <c r="H31" s="329"/>
      <c r="I31" s="329"/>
      <c r="J31" s="330"/>
    </row>
    <row r="32" spans="1:11" ht="57" customHeight="1" thickBot="1" x14ac:dyDescent="0.25">
      <c r="A32" s="403" t="s">
        <v>292</v>
      </c>
      <c r="B32" s="404"/>
      <c r="C32" s="404"/>
      <c r="D32" s="404"/>
      <c r="E32" s="404"/>
      <c r="F32" s="404" t="s">
        <v>293</v>
      </c>
      <c r="G32" s="404"/>
      <c r="H32" s="404"/>
      <c r="I32" s="404"/>
      <c r="J32" s="405"/>
    </row>
    <row r="33" spans="1:15" ht="93" customHeight="1" thickBot="1" x14ac:dyDescent="0.25">
      <c r="A33" s="341" t="s">
        <v>144</v>
      </c>
      <c r="B33" s="342"/>
      <c r="C33" s="342"/>
      <c r="D33" s="342"/>
      <c r="E33" s="342"/>
      <c r="F33" s="343" t="s">
        <v>195</v>
      </c>
      <c r="G33" s="344"/>
      <c r="H33" s="344"/>
      <c r="I33" s="344"/>
      <c r="J33" s="345"/>
    </row>
    <row r="34" spans="1:15" ht="93" customHeight="1" thickBot="1" x14ac:dyDescent="0.25">
      <c r="A34" s="314" t="s">
        <v>367</v>
      </c>
      <c r="B34" s="379"/>
      <c r="C34" s="379"/>
      <c r="D34" s="379"/>
      <c r="E34" s="434"/>
      <c r="F34" s="435" t="s">
        <v>368</v>
      </c>
      <c r="G34" s="436"/>
      <c r="H34" s="436"/>
      <c r="I34" s="436"/>
      <c r="J34" s="437"/>
    </row>
    <row r="35" spans="1:15" ht="93" customHeight="1" thickBot="1" x14ac:dyDescent="0.25">
      <c r="A35" s="314" t="s">
        <v>371</v>
      </c>
      <c r="B35" s="379"/>
      <c r="C35" s="379"/>
      <c r="D35" s="379"/>
      <c r="E35" s="434"/>
      <c r="F35" s="435" t="s">
        <v>446</v>
      </c>
      <c r="G35" s="436"/>
      <c r="H35" s="436"/>
      <c r="I35" s="436"/>
      <c r="J35" s="437"/>
    </row>
    <row r="36" spans="1:15" ht="93" customHeight="1" thickBot="1" x14ac:dyDescent="0.25">
      <c r="A36" s="314" t="s">
        <v>369</v>
      </c>
      <c r="B36" s="379"/>
      <c r="C36" s="379"/>
      <c r="D36" s="379"/>
      <c r="E36" s="434"/>
      <c r="F36" s="435" t="s">
        <v>370</v>
      </c>
      <c r="G36" s="436"/>
      <c r="H36" s="436"/>
      <c r="I36" s="436"/>
      <c r="J36" s="437"/>
    </row>
    <row r="37" spans="1:15" ht="135" customHeight="1" x14ac:dyDescent="0.2">
      <c r="A37" s="341" t="s">
        <v>141</v>
      </c>
      <c r="B37" s="342"/>
      <c r="C37" s="342"/>
      <c r="D37" s="342"/>
      <c r="E37" s="342"/>
      <c r="F37" s="343" t="s">
        <v>143</v>
      </c>
      <c r="G37" s="344"/>
      <c r="H37" s="344"/>
      <c r="I37" s="344"/>
      <c r="J37" s="345"/>
    </row>
    <row r="39" spans="1:15" ht="13.5" thickBot="1" x14ac:dyDescent="0.25">
      <c r="A39" s="1" t="s">
        <v>17</v>
      </c>
    </row>
    <row r="40" spans="1:15" ht="13.5" thickBot="1" x14ac:dyDescent="0.25">
      <c r="A40" s="328" t="s">
        <v>18</v>
      </c>
      <c r="B40" s="329"/>
      <c r="C40" s="329"/>
      <c r="D40" s="329"/>
      <c r="E40" s="329"/>
      <c r="F40" s="319" t="s">
        <v>19</v>
      </c>
      <c r="G40" s="320"/>
      <c r="H40" s="319" t="s">
        <v>20</v>
      </c>
      <c r="I40" s="329"/>
      <c r="J40" s="329"/>
      <c r="K40" s="329"/>
      <c r="L40" s="330"/>
    </row>
    <row r="41" spans="1:15" ht="42.75" customHeight="1" thickBot="1" x14ac:dyDescent="0.25">
      <c r="A41" s="386" t="s">
        <v>415</v>
      </c>
      <c r="B41" s="335"/>
      <c r="C41" s="335"/>
      <c r="D41" s="335"/>
      <c r="E41" s="335"/>
      <c r="F41" s="388" t="s">
        <v>416</v>
      </c>
      <c r="G41" s="337"/>
      <c r="H41" s="317" t="s">
        <v>445</v>
      </c>
      <c r="I41" s="339"/>
      <c r="J41" s="339"/>
      <c r="K41" s="339"/>
      <c r="L41" s="340"/>
    </row>
    <row r="42" spans="1:15" ht="57" customHeight="1" thickBot="1" x14ac:dyDescent="0.25">
      <c r="A42" s="386"/>
      <c r="B42" s="335"/>
      <c r="C42" s="335"/>
      <c r="D42" s="335"/>
      <c r="E42" s="335"/>
      <c r="F42" s="388"/>
      <c r="G42" s="337"/>
      <c r="H42" s="317"/>
      <c r="I42" s="379"/>
      <c r="J42" s="379"/>
      <c r="K42" s="379"/>
      <c r="L42" s="380"/>
    </row>
    <row r="43" spans="1:15" ht="25.5" customHeight="1" thickBot="1" x14ac:dyDescent="0.25">
      <c r="A43" s="314"/>
      <c r="B43" s="374"/>
      <c r="C43" s="374"/>
      <c r="D43" s="374"/>
      <c r="E43" s="375"/>
      <c r="F43" s="376"/>
      <c r="G43" s="452"/>
      <c r="H43" s="317"/>
      <c r="I43" s="374"/>
      <c r="J43" s="374"/>
      <c r="K43" s="374"/>
      <c r="L43" s="453"/>
    </row>
    <row r="44" spans="1:15" ht="24.75" customHeight="1" x14ac:dyDescent="0.2">
      <c r="O44" s="32"/>
    </row>
    <row r="45" spans="1:15" ht="24.75" customHeight="1" thickBot="1" x14ac:dyDescent="0.25">
      <c r="A45" s="1" t="s">
        <v>21</v>
      </c>
      <c r="O45" s="32"/>
    </row>
    <row r="46" spans="1:15" ht="24.75" customHeight="1" thickBot="1" x14ac:dyDescent="0.25">
      <c r="A46" s="328" t="s">
        <v>18</v>
      </c>
      <c r="B46" s="329"/>
      <c r="C46" s="329"/>
      <c r="D46" s="329"/>
      <c r="E46" s="329"/>
      <c r="F46" s="319" t="s">
        <v>19</v>
      </c>
      <c r="G46" s="320"/>
      <c r="H46" s="331" t="s">
        <v>69</v>
      </c>
      <c r="I46" s="332"/>
      <c r="J46" s="332"/>
      <c r="K46" s="332"/>
      <c r="L46" s="333"/>
      <c r="O46" s="32"/>
    </row>
    <row r="47" spans="1:15" ht="115.5" customHeight="1" thickBot="1" x14ac:dyDescent="0.25">
      <c r="A47" s="413" t="s">
        <v>448</v>
      </c>
      <c r="B47" s="414"/>
      <c r="C47" s="414"/>
      <c r="D47" s="414"/>
      <c r="E47" s="414"/>
      <c r="F47" s="415" t="s">
        <v>449</v>
      </c>
      <c r="G47" s="416"/>
      <c r="H47" s="317" t="s">
        <v>447</v>
      </c>
      <c r="I47" s="315"/>
      <c r="J47" s="315"/>
      <c r="K47" s="315"/>
      <c r="L47" s="318"/>
    </row>
    <row r="48" spans="1:15" ht="115.5" customHeight="1" thickBot="1" x14ac:dyDescent="0.25">
      <c r="A48" s="406"/>
      <c r="B48" s="407"/>
      <c r="C48" s="407"/>
      <c r="D48" s="407"/>
      <c r="E48" s="407"/>
      <c r="F48" s="438"/>
      <c r="G48" s="409"/>
      <c r="H48" s="410"/>
      <c r="I48" s="411"/>
      <c r="J48" s="411"/>
      <c r="K48" s="411"/>
      <c r="L48" s="412"/>
    </row>
    <row r="49" spans="1:15" ht="115.5" customHeight="1" thickBot="1" x14ac:dyDescent="0.25">
      <c r="A49" s="386"/>
      <c r="B49" s="335"/>
      <c r="C49" s="335"/>
      <c r="D49" s="335"/>
      <c r="E49" s="335"/>
      <c r="F49" s="388"/>
      <c r="G49" s="337"/>
      <c r="H49" s="338"/>
      <c r="I49" s="339"/>
      <c r="J49" s="339"/>
      <c r="K49" s="339"/>
      <c r="L49" s="340"/>
    </row>
    <row r="51" spans="1:15" ht="24.75" customHeight="1" thickBot="1" x14ac:dyDescent="0.25">
      <c r="A51" s="50" t="s">
        <v>64</v>
      </c>
      <c r="O51" s="32"/>
    </row>
    <row r="52" spans="1:15" ht="24.75" customHeight="1" thickBot="1" x14ac:dyDescent="0.25">
      <c r="A52" s="365" t="s">
        <v>18</v>
      </c>
      <c r="B52" s="359"/>
      <c r="C52" s="359"/>
      <c r="D52" s="359"/>
      <c r="E52" s="359"/>
      <c r="F52" s="419" t="s">
        <v>65</v>
      </c>
      <c r="G52" s="420"/>
      <c r="H52" s="421" t="s">
        <v>66</v>
      </c>
      <c r="I52" s="422"/>
      <c r="J52" s="419" t="s">
        <v>67</v>
      </c>
      <c r="K52" s="423"/>
      <c r="L52" s="423"/>
      <c r="M52" s="423"/>
      <c r="N52" s="424"/>
      <c r="O52" s="32"/>
    </row>
    <row r="53" spans="1:15" ht="66.75" customHeight="1" thickBot="1" x14ac:dyDescent="0.25">
      <c r="A53" s="389" t="s">
        <v>361</v>
      </c>
      <c r="B53" s="390"/>
      <c r="C53" s="390"/>
      <c r="D53" s="390"/>
      <c r="E53" s="390"/>
      <c r="F53" s="391" t="s">
        <v>364</v>
      </c>
      <c r="G53" s="392"/>
      <c r="H53" s="393" t="s">
        <v>421</v>
      </c>
      <c r="I53" s="394"/>
      <c r="J53" s="395" t="s">
        <v>422</v>
      </c>
      <c r="K53" s="396"/>
      <c r="L53" s="396"/>
      <c r="M53" s="396"/>
      <c r="N53" s="397"/>
    </row>
    <row r="54" spans="1:15" ht="13.5" thickBot="1" x14ac:dyDescent="0.25">
      <c r="A54" s="425"/>
      <c r="B54" s="407"/>
      <c r="C54" s="407"/>
      <c r="D54" s="407"/>
      <c r="E54" s="407"/>
      <c r="F54" s="408"/>
      <c r="G54" s="409"/>
      <c r="H54" s="426"/>
      <c r="I54" s="427"/>
      <c r="J54" s="428"/>
      <c r="K54" s="429"/>
      <c r="L54" s="429"/>
      <c r="M54" s="429"/>
      <c r="N54" s="430"/>
    </row>
    <row r="55" spans="1:15" ht="13.5" thickBot="1" x14ac:dyDescent="0.25">
      <c r="A55" s="50" t="s">
        <v>68</v>
      </c>
    </row>
    <row r="56" spans="1:15" ht="13.5" thickBot="1" x14ac:dyDescent="0.25">
      <c r="A56" s="328" t="s">
        <v>18</v>
      </c>
      <c r="B56" s="329"/>
      <c r="C56" s="329"/>
      <c r="D56" s="329"/>
      <c r="E56" s="329"/>
      <c r="F56" s="319" t="s">
        <v>19</v>
      </c>
      <c r="G56" s="320"/>
      <c r="H56" s="319" t="s">
        <v>20</v>
      </c>
      <c r="I56" s="329"/>
      <c r="J56" s="329"/>
      <c r="K56" s="329"/>
      <c r="L56" s="330"/>
    </row>
    <row r="57" spans="1:15" ht="13.5" customHeight="1" thickBot="1" x14ac:dyDescent="0.25">
      <c r="A57" s="341"/>
      <c r="B57" s="342"/>
      <c r="C57" s="342"/>
      <c r="D57" s="342"/>
      <c r="E57" s="342"/>
      <c r="F57" s="309"/>
      <c r="G57" s="310"/>
      <c r="H57" s="311"/>
      <c r="I57" s="312"/>
      <c r="J57" s="312"/>
      <c r="K57" s="312"/>
      <c r="L57" s="313"/>
    </row>
    <row r="58" spans="1:15" ht="32.25" customHeight="1" thickBot="1" x14ac:dyDescent="0.25">
      <c r="A58" s="341"/>
      <c r="B58" s="342"/>
      <c r="C58" s="342"/>
      <c r="D58" s="342"/>
      <c r="E58" s="342"/>
      <c r="F58" s="309"/>
      <c r="G58" s="310"/>
      <c r="H58" s="343"/>
      <c r="I58" s="312"/>
      <c r="J58" s="312"/>
      <c r="K58" s="312"/>
      <c r="L58" s="313"/>
    </row>
    <row r="59" spans="1:15" x14ac:dyDescent="0.2">
      <c r="A59" s="341"/>
      <c r="B59" s="342"/>
      <c r="C59" s="342"/>
      <c r="D59" s="342"/>
      <c r="E59" s="342"/>
      <c r="F59" s="309"/>
      <c r="G59" s="310"/>
      <c r="H59" s="343"/>
      <c r="I59" s="312"/>
      <c r="J59" s="312"/>
      <c r="K59" s="312"/>
      <c r="L59" s="313"/>
    </row>
  </sheetData>
  <mergeCells count="97">
    <mergeCell ref="A59:E59"/>
    <mergeCell ref="F59:G59"/>
    <mergeCell ref="H59:L59"/>
    <mergeCell ref="A57:E57"/>
    <mergeCell ref="F57:G57"/>
    <mergeCell ref="H57:L57"/>
    <mergeCell ref="A58:E58"/>
    <mergeCell ref="F58:G58"/>
    <mergeCell ref="H58:L58"/>
    <mergeCell ref="A54:E54"/>
    <mergeCell ref="F54:G54"/>
    <mergeCell ref="H54:I54"/>
    <mergeCell ref="J54:N54"/>
    <mergeCell ref="A56:E56"/>
    <mergeCell ref="F56:G56"/>
    <mergeCell ref="H56:L56"/>
    <mergeCell ref="A52:E52"/>
    <mergeCell ref="F52:G52"/>
    <mergeCell ref="H52:I52"/>
    <mergeCell ref="J52:N52"/>
    <mergeCell ref="A53:E53"/>
    <mergeCell ref="F53:G53"/>
    <mergeCell ref="H53:I53"/>
    <mergeCell ref="J53:N53"/>
    <mergeCell ref="A48:E48"/>
    <mergeCell ref="F48:G48"/>
    <mergeCell ref="H48:L48"/>
    <mergeCell ref="A49:E49"/>
    <mergeCell ref="F49:G49"/>
    <mergeCell ref="H49:L49"/>
    <mergeCell ref="A46:E46"/>
    <mergeCell ref="F46:G46"/>
    <mergeCell ref="H46:L46"/>
    <mergeCell ref="A47:E47"/>
    <mergeCell ref="F47:G47"/>
    <mergeCell ref="H47:L47"/>
    <mergeCell ref="A42:E42"/>
    <mergeCell ref="F42:G42"/>
    <mergeCell ref="H42:L42"/>
    <mergeCell ref="A43:E43"/>
    <mergeCell ref="F43:G43"/>
    <mergeCell ref="H43:L43"/>
    <mergeCell ref="A40:E40"/>
    <mergeCell ref="F40:G40"/>
    <mergeCell ref="H40:L40"/>
    <mergeCell ref="A41:E41"/>
    <mergeCell ref="F41:G41"/>
    <mergeCell ref="H41:L41"/>
    <mergeCell ref="A35:E35"/>
    <mergeCell ref="F35:J35"/>
    <mergeCell ref="A36:E36"/>
    <mergeCell ref="F36:J36"/>
    <mergeCell ref="A37:E37"/>
    <mergeCell ref="F37:J37"/>
    <mergeCell ref="A32:E32"/>
    <mergeCell ref="F32:J32"/>
    <mergeCell ref="A33:E33"/>
    <mergeCell ref="F33:J33"/>
    <mergeCell ref="A34:E34"/>
    <mergeCell ref="F34:J34"/>
    <mergeCell ref="A27:E27"/>
    <mergeCell ref="F27:J27"/>
    <mergeCell ref="A28:E28"/>
    <mergeCell ref="F28:J28"/>
    <mergeCell ref="A31:E31"/>
    <mergeCell ref="F31:J31"/>
    <mergeCell ref="A26:E26"/>
    <mergeCell ref="F26:J26"/>
    <mergeCell ref="B17:F17"/>
    <mergeCell ref="G17:K17"/>
    <mergeCell ref="B18:F18"/>
    <mergeCell ref="G18:K18"/>
    <mergeCell ref="B19:F19"/>
    <mergeCell ref="G19:K19"/>
    <mergeCell ref="B20:F20"/>
    <mergeCell ref="B21:F21"/>
    <mergeCell ref="G21:K21"/>
    <mergeCell ref="B22:F22"/>
    <mergeCell ref="G22:K22"/>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25" sqref="B25:F25"/>
    </sheetView>
  </sheetViews>
  <sheetFormatPr defaultColWidth="8.85546875" defaultRowHeight="12.75" x14ac:dyDescent="0.2"/>
  <sheetData>
    <row r="2" spans="2:13" ht="13.5" thickBot="1" x14ac:dyDescent="0.25">
      <c r="B2" s="1" t="s">
        <v>115</v>
      </c>
    </row>
    <row r="3" spans="2:13" ht="13.5" thickBot="1" x14ac:dyDescent="0.25">
      <c r="B3" s="328" t="s">
        <v>116</v>
      </c>
      <c r="C3" s="329"/>
      <c r="D3" s="329"/>
      <c r="E3" s="329"/>
      <c r="F3" s="329"/>
      <c r="G3" s="319" t="s">
        <v>117</v>
      </c>
      <c r="H3" s="320"/>
      <c r="I3" s="319" t="s">
        <v>114</v>
      </c>
      <c r="J3" s="329"/>
      <c r="K3" s="329"/>
      <c r="L3" s="329"/>
      <c r="M3" s="330"/>
    </row>
    <row r="4" spans="2:13" ht="13.5" thickBot="1" x14ac:dyDescent="0.25">
      <c r="B4" s="468"/>
      <c r="C4" s="469"/>
      <c r="D4" s="469"/>
      <c r="E4" s="469"/>
      <c r="F4" s="470"/>
      <c r="G4" s="471"/>
      <c r="H4" s="465"/>
      <c r="I4" s="466"/>
      <c r="J4" s="459"/>
      <c r="K4" s="459"/>
      <c r="L4" s="459"/>
      <c r="M4" s="467"/>
    </row>
    <row r="5" spans="2:13" ht="13.5" thickBot="1" x14ac:dyDescent="0.25">
      <c r="B5" s="454"/>
      <c r="C5" s="455"/>
      <c r="D5" s="455"/>
      <c r="E5" s="455"/>
      <c r="F5" s="455"/>
      <c r="G5" s="464"/>
      <c r="H5" s="465"/>
      <c r="I5" s="466"/>
      <c r="J5" s="459"/>
      <c r="K5" s="459"/>
      <c r="L5" s="459"/>
      <c r="M5" s="467"/>
    </row>
    <row r="6" spans="2:13" ht="13.5" thickBot="1" x14ac:dyDescent="0.25">
      <c r="B6" s="328" t="s">
        <v>118</v>
      </c>
      <c r="C6" s="329"/>
      <c r="D6" s="329"/>
      <c r="E6" s="329"/>
      <c r="F6" s="329"/>
      <c r="G6" s="319" t="s">
        <v>117</v>
      </c>
      <c r="H6" s="320"/>
      <c r="I6" s="319" t="s">
        <v>114</v>
      </c>
      <c r="J6" s="329"/>
      <c r="K6" s="329"/>
      <c r="L6" s="329"/>
      <c r="M6" s="330"/>
    </row>
    <row r="7" spans="2:13" x14ac:dyDescent="0.2">
      <c r="B7" s="458"/>
      <c r="C7" s="459"/>
      <c r="D7" s="459"/>
      <c r="E7" s="459"/>
      <c r="F7" s="459"/>
      <c r="G7" s="460"/>
      <c r="H7" s="459"/>
      <c r="I7" s="461"/>
      <c r="J7" s="462"/>
      <c r="K7" s="462"/>
      <c r="L7" s="462"/>
      <c r="M7" s="463"/>
    </row>
    <row r="8" spans="2:13" ht="13.5" thickBot="1" x14ac:dyDescent="0.25">
      <c r="B8" s="454"/>
      <c r="C8" s="455"/>
      <c r="D8" s="455"/>
      <c r="E8" s="455"/>
      <c r="F8" s="455"/>
      <c r="G8" s="456"/>
      <c r="H8" s="455"/>
      <c r="I8" s="455"/>
      <c r="J8" s="455"/>
      <c r="K8" s="455"/>
      <c r="L8" s="455"/>
      <c r="M8" s="457"/>
    </row>
    <row r="9" spans="2:13" ht="13.5" thickBot="1" x14ac:dyDescent="0.25">
      <c r="B9" s="328" t="s">
        <v>119</v>
      </c>
      <c r="C9" s="329"/>
      <c r="D9" s="329"/>
      <c r="E9" s="329"/>
      <c r="F9" s="329"/>
      <c r="G9" s="319" t="s">
        <v>117</v>
      </c>
      <c r="H9" s="320"/>
      <c r="I9" s="319" t="s">
        <v>114</v>
      </c>
      <c r="J9" s="329"/>
      <c r="K9" s="329"/>
      <c r="L9" s="329"/>
      <c r="M9" s="330"/>
    </row>
    <row r="10" spans="2:13" x14ac:dyDescent="0.2">
      <c r="B10" s="458"/>
      <c r="C10" s="459"/>
      <c r="D10" s="459"/>
      <c r="E10" s="459"/>
      <c r="F10" s="459"/>
      <c r="G10" s="460"/>
      <c r="H10" s="459"/>
      <c r="I10" s="461"/>
      <c r="J10" s="462"/>
      <c r="K10" s="462"/>
      <c r="L10" s="462"/>
      <c r="M10" s="463"/>
    </row>
    <row r="11" spans="2:13" ht="13.5" thickBot="1" x14ac:dyDescent="0.25">
      <c r="B11" s="454"/>
      <c r="C11" s="455"/>
      <c r="D11" s="455"/>
      <c r="E11" s="455"/>
      <c r="F11" s="455"/>
      <c r="G11" s="456"/>
      <c r="H11" s="455"/>
      <c r="I11" s="455"/>
      <c r="J11" s="455"/>
      <c r="K11" s="455"/>
      <c r="L11" s="455"/>
      <c r="M11" s="457"/>
    </row>
    <row r="12" spans="2:13" ht="13.5" thickBot="1" x14ac:dyDescent="0.25">
      <c r="B12" s="328" t="s">
        <v>120</v>
      </c>
      <c r="C12" s="329"/>
      <c r="D12" s="329"/>
      <c r="E12" s="329"/>
      <c r="F12" s="329"/>
      <c r="G12" s="319" t="s">
        <v>117</v>
      </c>
      <c r="H12" s="320"/>
      <c r="I12" s="319" t="s">
        <v>114</v>
      </c>
      <c r="J12" s="329"/>
      <c r="K12" s="329"/>
      <c r="L12" s="329"/>
      <c r="M12" s="330"/>
    </row>
    <row r="13" spans="2:13" x14ac:dyDescent="0.2">
      <c r="B13" s="458"/>
      <c r="C13" s="459"/>
      <c r="D13" s="459"/>
      <c r="E13" s="459"/>
      <c r="F13" s="459"/>
      <c r="G13" s="460"/>
      <c r="H13" s="459"/>
      <c r="I13" s="461"/>
      <c r="J13" s="462"/>
      <c r="K13" s="462"/>
      <c r="L13" s="462"/>
      <c r="M13" s="463"/>
    </row>
    <row r="14" spans="2:13" ht="13.5" thickBot="1" x14ac:dyDescent="0.25">
      <c r="B14" s="454"/>
      <c r="C14" s="455"/>
      <c r="D14" s="455"/>
      <c r="E14" s="455"/>
      <c r="F14" s="455"/>
      <c r="G14" s="456"/>
      <c r="H14" s="455"/>
      <c r="I14" s="455"/>
      <c r="J14" s="455"/>
      <c r="K14" s="455"/>
      <c r="L14" s="455"/>
      <c r="M14" s="457"/>
    </row>
    <row r="15" spans="2:13" ht="13.5" thickBot="1" x14ac:dyDescent="0.25">
      <c r="B15" s="328" t="s">
        <v>121</v>
      </c>
      <c r="C15" s="329"/>
      <c r="D15" s="329"/>
      <c r="E15" s="329"/>
      <c r="F15" s="329"/>
      <c r="G15" s="319" t="s">
        <v>117</v>
      </c>
      <c r="H15" s="320"/>
      <c r="I15" s="319" t="s">
        <v>114</v>
      </c>
      <c r="J15" s="329"/>
      <c r="K15" s="329"/>
      <c r="L15" s="329"/>
      <c r="M15" s="330"/>
    </row>
    <row r="16" spans="2:13" x14ac:dyDescent="0.2">
      <c r="B16" s="458"/>
      <c r="C16" s="459"/>
      <c r="D16" s="459"/>
      <c r="E16" s="459"/>
      <c r="F16" s="459"/>
      <c r="G16" s="460"/>
      <c r="H16" s="459"/>
      <c r="I16" s="461"/>
      <c r="J16" s="462"/>
      <c r="K16" s="462"/>
      <c r="L16" s="462"/>
      <c r="M16" s="463"/>
    </row>
    <row r="17" spans="2:13" ht="13.5" thickBot="1" x14ac:dyDescent="0.25">
      <c r="B17" s="454"/>
      <c r="C17" s="455"/>
      <c r="D17" s="455"/>
      <c r="E17" s="455"/>
      <c r="F17" s="455"/>
      <c r="G17" s="456"/>
      <c r="H17" s="455"/>
      <c r="I17" s="455"/>
      <c r="J17" s="455"/>
      <c r="K17" s="455"/>
      <c r="L17" s="455"/>
      <c r="M17" s="457"/>
    </row>
    <row r="18" spans="2:13" ht="13.5" thickBot="1" x14ac:dyDescent="0.25">
      <c r="B18" s="328" t="s">
        <v>122</v>
      </c>
      <c r="C18" s="329"/>
      <c r="D18" s="329"/>
      <c r="E18" s="329"/>
      <c r="F18" s="329"/>
      <c r="G18" s="319" t="s">
        <v>117</v>
      </c>
      <c r="H18" s="320"/>
      <c r="I18" s="319" t="s">
        <v>114</v>
      </c>
      <c r="J18" s="329"/>
      <c r="K18" s="329"/>
      <c r="L18" s="329"/>
      <c r="M18" s="330"/>
    </row>
    <row r="19" spans="2:13" x14ac:dyDescent="0.2">
      <c r="B19" s="458"/>
      <c r="C19" s="459"/>
      <c r="D19" s="459"/>
      <c r="E19" s="459"/>
      <c r="F19" s="459"/>
      <c r="G19" s="460"/>
      <c r="H19" s="459"/>
      <c r="I19" s="461"/>
      <c r="J19" s="462"/>
      <c r="K19" s="462"/>
      <c r="L19" s="462"/>
      <c r="M19" s="463"/>
    </row>
    <row r="20" spans="2:13" ht="13.5" thickBot="1" x14ac:dyDescent="0.25">
      <c r="B20" s="454"/>
      <c r="C20" s="455"/>
      <c r="D20" s="455"/>
      <c r="E20" s="455"/>
      <c r="F20" s="455"/>
      <c r="G20" s="456"/>
      <c r="H20" s="455"/>
      <c r="I20" s="455"/>
      <c r="J20" s="455"/>
      <c r="K20" s="455"/>
      <c r="L20" s="455"/>
      <c r="M20" s="457"/>
    </row>
    <row r="21" spans="2:13" ht="13.5" thickBot="1" x14ac:dyDescent="0.25">
      <c r="B21" s="328" t="s">
        <v>123</v>
      </c>
      <c r="C21" s="329"/>
      <c r="D21" s="329"/>
      <c r="E21" s="329"/>
      <c r="F21" s="329"/>
      <c r="G21" s="319" t="s">
        <v>117</v>
      </c>
      <c r="H21" s="320"/>
      <c r="I21" s="319" t="s">
        <v>114</v>
      </c>
      <c r="J21" s="329"/>
      <c r="K21" s="329"/>
      <c r="L21" s="329"/>
      <c r="M21" s="330"/>
    </row>
    <row r="22" spans="2:13" x14ac:dyDescent="0.2">
      <c r="B22" s="458"/>
      <c r="C22" s="459"/>
      <c r="D22" s="459"/>
      <c r="E22" s="459"/>
      <c r="F22" s="459"/>
      <c r="G22" s="460"/>
      <c r="H22" s="459"/>
      <c r="I22" s="461"/>
      <c r="J22" s="462"/>
      <c r="K22" s="462"/>
      <c r="L22" s="462"/>
      <c r="M22" s="463"/>
    </row>
    <row r="23" spans="2:13" ht="13.5" thickBot="1" x14ac:dyDescent="0.25">
      <c r="B23" s="454"/>
      <c r="C23" s="455"/>
      <c r="D23" s="455"/>
      <c r="E23" s="455"/>
      <c r="F23" s="455"/>
      <c r="G23" s="456"/>
      <c r="H23" s="455"/>
      <c r="I23" s="455"/>
      <c r="J23" s="455"/>
      <c r="K23" s="455"/>
      <c r="L23" s="455"/>
      <c r="M23" s="457"/>
    </row>
    <row r="24" spans="2:13" ht="13.5" thickBot="1" x14ac:dyDescent="0.25">
      <c r="B24" s="328" t="s">
        <v>124</v>
      </c>
      <c r="C24" s="329"/>
      <c r="D24" s="329"/>
      <c r="E24" s="329"/>
      <c r="F24" s="329"/>
      <c r="G24" s="319" t="s">
        <v>117</v>
      </c>
      <c r="H24" s="320"/>
      <c r="I24" s="319" t="s">
        <v>114</v>
      </c>
      <c r="J24" s="329"/>
      <c r="K24" s="329"/>
      <c r="L24" s="329"/>
      <c r="M24" s="330"/>
    </row>
    <row r="25" spans="2:13" x14ac:dyDescent="0.2">
      <c r="B25" s="458"/>
      <c r="C25" s="459"/>
      <c r="D25" s="459"/>
      <c r="E25" s="459"/>
      <c r="F25" s="459"/>
      <c r="G25" s="460"/>
      <c r="H25" s="459"/>
      <c r="I25" s="461"/>
      <c r="J25" s="462"/>
      <c r="K25" s="462"/>
      <c r="L25" s="462"/>
      <c r="M25" s="463"/>
    </row>
    <row r="26" spans="2:13" ht="13.5" thickBot="1" x14ac:dyDescent="0.25">
      <c r="B26" s="454"/>
      <c r="C26" s="455"/>
      <c r="D26" s="455"/>
      <c r="E26" s="455"/>
      <c r="F26" s="455"/>
      <c r="G26" s="456"/>
      <c r="H26" s="455"/>
      <c r="I26" s="455"/>
      <c r="J26" s="455"/>
      <c r="K26" s="455"/>
      <c r="L26" s="455"/>
      <c r="M26" s="457"/>
    </row>
    <row r="27" spans="2:13" ht="13.5" thickBot="1" x14ac:dyDescent="0.25">
      <c r="B27" s="328" t="s">
        <v>125</v>
      </c>
      <c r="C27" s="329"/>
      <c r="D27" s="329"/>
      <c r="E27" s="329"/>
      <c r="F27" s="329"/>
      <c r="G27" s="319" t="s">
        <v>117</v>
      </c>
      <c r="H27" s="320"/>
      <c r="I27" s="319" t="s">
        <v>114</v>
      </c>
      <c r="J27" s="329"/>
      <c r="K27" s="329"/>
      <c r="L27" s="329"/>
      <c r="M27" s="330"/>
    </row>
    <row r="28" spans="2:13" x14ac:dyDescent="0.2">
      <c r="B28" s="458"/>
      <c r="C28" s="459"/>
      <c r="D28" s="459"/>
      <c r="E28" s="459"/>
      <c r="F28" s="459"/>
      <c r="G28" s="460"/>
      <c r="H28" s="459"/>
      <c r="I28" s="461"/>
      <c r="J28" s="462"/>
      <c r="K28" s="462"/>
      <c r="L28" s="462"/>
      <c r="M28" s="463"/>
    </row>
    <row r="29" spans="2:13" ht="13.5" thickBot="1" x14ac:dyDescent="0.25">
      <c r="B29" s="454"/>
      <c r="C29" s="455"/>
      <c r="D29" s="455"/>
      <c r="E29" s="455"/>
      <c r="F29" s="455"/>
      <c r="G29" s="456"/>
      <c r="H29" s="455"/>
      <c r="I29" s="455"/>
      <c r="J29" s="455"/>
      <c r="K29" s="455"/>
      <c r="L29" s="455"/>
      <c r="M29" s="457"/>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G30"/>
  <sheetViews>
    <sheetView zoomScale="90" zoomScaleNormal="90" zoomScalePageLayoutView="90" workbookViewId="0">
      <pane ySplit="8" topLeftCell="A9" activePane="bottomLeft" state="frozen"/>
      <selection pane="bottomLeft" activeCell="G12" sqref="G12"/>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s>
  <sheetData>
    <row r="1" spans="1:7" ht="13.5" thickBot="1" x14ac:dyDescent="0.25"/>
    <row r="2" spans="1:7" ht="13.5" thickBot="1" x14ac:dyDescent="0.25">
      <c r="A2" s="6" t="s">
        <v>24</v>
      </c>
      <c r="B2" s="9"/>
      <c r="D2" s="11"/>
      <c r="E2" s="12" t="s">
        <v>42</v>
      </c>
      <c r="F2" s="52"/>
      <c r="G2" s="62" t="s">
        <v>73</v>
      </c>
    </row>
    <row r="3" spans="1:7" x14ac:dyDescent="0.2">
      <c r="A3" s="10" t="s">
        <v>28</v>
      </c>
      <c r="B3" s="21" t="str">
        <f>Metrics!B3</f>
        <v>Tier-1</v>
      </c>
      <c r="D3" s="13"/>
      <c r="E3" s="14" t="s">
        <v>39</v>
      </c>
      <c r="F3" s="33"/>
      <c r="G3" t="s">
        <v>4</v>
      </c>
    </row>
    <row r="4" spans="1:7" x14ac:dyDescent="0.2">
      <c r="A4" s="4" t="s">
        <v>25</v>
      </c>
      <c r="B4" s="19" t="str">
        <f>Metrics!B4</f>
        <v>Q317</v>
      </c>
      <c r="D4" s="15"/>
      <c r="E4" s="14" t="s">
        <v>40</v>
      </c>
      <c r="F4" s="51"/>
      <c r="G4" t="s">
        <v>3</v>
      </c>
    </row>
    <row r="5" spans="1:7" ht="13.5" thickBot="1" x14ac:dyDescent="0.25">
      <c r="A5" s="5" t="s">
        <v>29</v>
      </c>
      <c r="B5" s="20" t="str">
        <f>Metrics!B5</f>
        <v>Gareth Smith</v>
      </c>
      <c r="D5" s="16"/>
      <c r="E5" s="17" t="s">
        <v>34</v>
      </c>
      <c r="F5" s="63"/>
      <c r="G5" t="s">
        <v>0</v>
      </c>
    </row>
    <row r="6" spans="1:7" x14ac:dyDescent="0.2">
      <c r="A6" s="29" t="s">
        <v>57</v>
      </c>
    </row>
    <row r="7" spans="1:7" ht="13.5" thickBot="1" x14ac:dyDescent="0.25"/>
    <row r="8" spans="1:7" ht="20.100000000000001" customHeight="1" thickBot="1" x14ac:dyDescent="0.25">
      <c r="A8" s="7" t="s">
        <v>35</v>
      </c>
      <c r="B8" s="7" t="s">
        <v>27</v>
      </c>
      <c r="C8" s="7" t="s">
        <v>26</v>
      </c>
      <c r="D8" s="7" t="s">
        <v>36</v>
      </c>
      <c r="E8" s="7" t="s">
        <v>37</v>
      </c>
      <c r="F8" s="7" t="s">
        <v>38</v>
      </c>
      <c r="G8" s="7" t="s">
        <v>33</v>
      </c>
    </row>
    <row r="9" spans="1:7" s="30" customFormat="1" ht="25.5" x14ac:dyDescent="0.2">
      <c r="A9" s="240" t="s">
        <v>229</v>
      </c>
      <c r="B9" s="298" t="s">
        <v>99</v>
      </c>
      <c r="C9" s="241" t="s">
        <v>54</v>
      </c>
      <c r="D9" s="242">
        <v>42522</v>
      </c>
      <c r="E9" s="244"/>
      <c r="F9" s="244"/>
      <c r="G9" s="244" t="s">
        <v>288</v>
      </c>
    </row>
    <row r="10" spans="1:7" x14ac:dyDescent="0.2">
      <c r="A10" s="240" t="s">
        <v>230</v>
      </c>
      <c r="B10" s="241" t="s">
        <v>221</v>
      </c>
      <c r="C10" s="241" t="s">
        <v>54</v>
      </c>
      <c r="D10" s="242">
        <v>42675</v>
      </c>
      <c r="E10" s="243">
        <v>42767</v>
      </c>
      <c r="F10" s="244"/>
      <c r="G10" s="244" t="s">
        <v>306</v>
      </c>
    </row>
    <row r="11" spans="1:7" s="30" customFormat="1" x14ac:dyDescent="0.2">
      <c r="A11" s="221" t="s">
        <v>231</v>
      </c>
      <c r="B11" s="222" t="s">
        <v>222</v>
      </c>
      <c r="C11" s="222" t="s">
        <v>54</v>
      </c>
      <c r="D11" s="223">
        <v>42826</v>
      </c>
      <c r="E11" s="224"/>
      <c r="F11" s="224"/>
      <c r="G11" s="224" t="s">
        <v>445</v>
      </c>
    </row>
    <row r="12" spans="1:7" x14ac:dyDescent="0.2">
      <c r="A12" s="240" t="s">
        <v>232</v>
      </c>
      <c r="B12" s="241" t="s">
        <v>126</v>
      </c>
      <c r="C12" s="241" t="s">
        <v>54</v>
      </c>
      <c r="D12" s="242">
        <v>42856</v>
      </c>
      <c r="E12" s="244"/>
      <c r="F12" s="244"/>
      <c r="G12" s="303" t="s">
        <v>444</v>
      </c>
    </row>
    <row r="13" spans="1:7" x14ac:dyDescent="0.2">
      <c r="A13" s="240" t="s">
        <v>233</v>
      </c>
      <c r="B13" s="241" t="s">
        <v>99</v>
      </c>
      <c r="C13" s="241" t="s">
        <v>54</v>
      </c>
      <c r="D13" s="242">
        <v>42887</v>
      </c>
      <c r="E13" s="244"/>
      <c r="F13" s="244"/>
      <c r="G13" s="244" t="s">
        <v>442</v>
      </c>
    </row>
    <row r="14" spans="1:7" x14ac:dyDescent="0.2">
      <c r="A14" s="221" t="s">
        <v>234</v>
      </c>
      <c r="B14" s="222" t="s">
        <v>223</v>
      </c>
      <c r="C14" s="222" t="s">
        <v>54</v>
      </c>
      <c r="D14" s="223">
        <v>43040</v>
      </c>
      <c r="E14" s="297"/>
      <c r="F14" s="224"/>
      <c r="G14" s="224" t="s">
        <v>447</v>
      </c>
    </row>
    <row r="15" spans="1:7" x14ac:dyDescent="0.2">
      <c r="A15" s="299" t="s">
        <v>235</v>
      </c>
      <c r="B15" s="300" t="s">
        <v>224</v>
      </c>
      <c r="C15" s="300" t="s">
        <v>54</v>
      </c>
      <c r="D15" s="301">
        <v>43191</v>
      </c>
      <c r="E15" s="302"/>
      <c r="F15" s="302"/>
      <c r="G15" s="302" t="s">
        <v>443</v>
      </c>
    </row>
    <row r="16" spans="1:7" x14ac:dyDescent="0.2">
      <c r="A16" s="205" t="s">
        <v>236</v>
      </c>
      <c r="B16" s="203" t="s">
        <v>126</v>
      </c>
      <c r="C16" s="158" t="s">
        <v>54</v>
      </c>
      <c r="D16" s="204">
        <v>43221</v>
      </c>
      <c r="E16" s="156"/>
      <c r="F16" s="156"/>
      <c r="G16" s="156"/>
    </row>
    <row r="17" spans="1:7" s="30" customFormat="1" x14ac:dyDescent="0.2">
      <c r="A17" s="205" t="s">
        <v>237</v>
      </c>
      <c r="B17" s="202" t="s">
        <v>99</v>
      </c>
      <c r="C17" s="158" t="s">
        <v>54</v>
      </c>
      <c r="D17" s="204">
        <v>43252</v>
      </c>
      <c r="E17" s="156"/>
      <c r="F17" s="156"/>
      <c r="G17" s="156"/>
    </row>
    <row r="18" spans="1:7" s="30" customFormat="1" x14ac:dyDescent="0.2">
      <c r="A18" s="205" t="s">
        <v>238</v>
      </c>
      <c r="B18" s="203" t="s">
        <v>225</v>
      </c>
      <c r="C18" s="158" t="s">
        <v>54</v>
      </c>
      <c r="D18" s="204">
        <v>43405</v>
      </c>
      <c r="E18" s="156"/>
      <c r="F18" s="156"/>
      <c r="G18" s="156"/>
    </row>
    <row r="19" spans="1:7" x14ac:dyDescent="0.2">
      <c r="A19" s="205" t="s">
        <v>239</v>
      </c>
      <c r="B19" s="203" t="s">
        <v>226</v>
      </c>
      <c r="C19" s="158" t="s">
        <v>54</v>
      </c>
      <c r="D19" s="204">
        <v>43556</v>
      </c>
      <c r="E19" s="156"/>
      <c r="F19" s="156"/>
      <c r="G19" s="156"/>
    </row>
    <row r="20" spans="1:7" ht="32.25" customHeight="1" x14ac:dyDescent="0.2">
      <c r="A20" s="205" t="s">
        <v>240</v>
      </c>
      <c r="B20" s="203" t="s">
        <v>126</v>
      </c>
      <c r="C20" s="158" t="s">
        <v>54</v>
      </c>
      <c r="D20" s="204">
        <v>43586</v>
      </c>
      <c r="E20" s="156"/>
      <c r="F20" s="156"/>
      <c r="G20" s="156"/>
    </row>
    <row r="21" spans="1:7" x14ac:dyDescent="0.2">
      <c r="A21" s="205" t="s">
        <v>241</v>
      </c>
      <c r="B21" s="202" t="s">
        <v>99</v>
      </c>
      <c r="C21" s="158" t="s">
        <v>54</v>
      </c>
      <c r="D21" s="204">
        <v>43617</v>
      </c>
      <c r="E21" s="156"/>
      <c r="F21" s="156"/>
      <c r="G21" s="156"/>
    </row>
    <row r="22" spans="1:7" s="30" customFormat="1" ht="42.75" customHeight="1" x14ac:dyDescent="0.2">
      <c r="A22" s="205" t="s">
        <v>242</v>
      </c>
      <c r="B22" s="203" t="s">
        <v>227</v>
      </c>
      <c r="C22" s="158" t="s">
        <v>54</v>
      </c>
      <c r="D22" s="204">
        <v>43770</v>
      </c>
      <c r="E22" s="156"/>
      <c r="F22" s="156"/>
      <c r="G22" s="156"/>
    </row>
    <row r="23" spans="1:7" s="30" customFormat="1" ht="42.75" customHeight="1" x14ac:dyDescent="0.2">
      <c r="A23" s="205" t="s">
        <v>243</v>
      </c>
      <c r="B23" s="203" t="s">
        <v>228</v>
      </c>
      <c r="C23" s="158" t="s">
        <v>54</v>
      </c>
      <c r="D23" s="204">
        <v>43922</v>
      </c>
      <c r="E23" s="156"/>
      <c r="F23" s="156"/>
      <c r="G23" s="156"/>
    </row>
    <row r="24" spans="1:7" s="30" customFormat="1" ht="128.25" customHeight="1" x14ac:dyDescent="0.2">
      <c r="A24" s="205" t="s">
        <v>244</v>
      </c>
      <c r="B24" s="203" t="s">
        <v>126</v>
      </c>
      <c r="C24" s="158" t="s">
        <v>54</v>
      </c>
      <c r="D24" s="204">
        <v>43952</v>
      </c>
      <c r="E24" s="156"/>
      <c r="F24" s="156"/>
      <c r="G24" s="156"/>
    </row>
    <row r="25" spans="1:7" s="30" customFormat="1" ht="48.75" customHeight="1" x14ac:dyDescent="0.2"/>
    <row r="26" spans="1:7" s="30" customFormat="1" x14ac:dyDescent="0.2"/>
    <row r="27" spans="1:7" s="30" customFormat="1" x14ac:dyDescent="0.2"/>
    <row r="28" spans="1:7" s="30" customFormat="1" x14ac:dyDescent="0.2"/>
    <row r="29" spans="1:7" s="30" customFormat="1" ht="49.5" customHeight="1" x14ac:dyDescent="0.2"/>
    <row r="30" spans="1:7" s="30" customFormat="1" ht="35.1" customHeight="1" x14ac:dyDescent="0.2"/>
  </sheetData>
  <phoneticPr fontId="0" type="noConversion"/>
  <pageMargins left="0.75" right="0.75" top="1" bottom="1" header="0.5" footer="0.5"/>
  <pageSetup paperSize="9" scale="73"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0" zoomScaleNormal="80" zoomScalePageLayoutView="80" workbookViewId="0">
      <selection activeCell="B4" sqref="B4"/>
    </sheetView>
  </sheetViews>
  <sheetFormatPr defaultColWidth="8.85546875" defaultRowHeight="12.75" x14ac:dyDescent="0.2"/>
  <cols>
    <col min="1" max="1" width="15" customWidth="1"/>
    <col min="2" max="4" width="24.42578125" customWidth="1"/>
    <col min="5" max="5" width="22.140625" customWidth="1"/>
    <col min="10" max="10" width="18.140625" customWidth="1"/>
    <col min="11" max="11" width="15.85546875" customWidth="1"/>
    <col min="12" max="12" width="29.85546875" customWidth="1"/>
    <col min="13" max="13" width="15" customWidth="1"/>
  </cols>
  <sheetData>
    <row r="1" spans="1:13" s="30" customFormat="1" ht="15.75" thickBot="1" x14ac:dyDescent="0.25">
      <c r="A1" s="96"/>
      <c r="B1" s="96"/>
      <c r="C1" s="96"/>
      <c r="D1" s="96"/>
      <c r="E1" s="96"/>
      <c r="F1" s="96"/>
      <c r="G1" s="96"/>
      <c r="H1" s="96"/>
      <c r="I1" s="96"/>
      <c r="J1" s="96"/>
      <c r="K1" s="96"/>
    </row>
    <row r="2" spans="1:13" s="30" customFormat="1" ht="16.5" thickBot="1" x14ac:dyDescent="0.3">
      <c r="A2" s="97" t="s">
        <v>24</v>
      </c>
      <c r="B2" s="98"/>
      <c r="E2" s="96"/>
      <c r="F2" s="96"/>
      <c r="G2" s="96"/>
      <c r="H2" s="96"/>
      <c r="I2" s="96"/>
    </row>
    <row r="3" spans="1:13" s="30" customFormat="1" ht="15.75" x14ac:dyDescent="0.25">
      <c r="A3" s="99" t="s">
        <v>28</v>
      </c>
      <c r="B3" s="100" t="s">
        <v>53</v>
      </c>
      <c r="E3" s="96"/>
      <c r="F3" s="96"/>
      <c r="G3" s="96"/>
      <c r="H3" s="96"/>
      <c r="I3" s="96"/>
    </row>
    <row r="4" spans="1:13" s="30" customFormat="1" ht="15.75" x14ac:dyDescent="0.25">
      <c r="A4" s="101" t="s">
        <v>25</v>
      </c>
      <c r="B4" s="71" t="s">
        <v>145</v>
      </c>
      <c r="E4" s="96"/>
      <c r="F4" s="96"/>
      <c r="G4" s="96"/>
      <c r="H4" s="96"/>
      <c r="I4" s="96"/>
    </row>
    <row r="5" spans="1:13" s="30" customFormat="1" ht="16.5" thickBot="1" x14ac:dyDescent="0.3">
      <c r="A5" s="102" t="s">
        <v>29</v>
      </c>
      <c r="B5" s="103" t="s">
        <v>54</v>
      </c>
      <c r="E5" s="96"/>
      <c r="F5" s="96"/>
      <c r="G5" s="96"/>
      <c r="H5" s="96"/>
      <c r="I5" s="96"/>
    </row>
    <row r="6" spans="1:13" s="30" customFormat="1" ht="15" x14ac:dyDescent="0.2">
      <c r="A6" s="96"/>
      <c r="B6" s="96"/>
      <c r="C6" s="96"/>
      <c r="D6" s="96"/>
      <c r="E6" s="96"/>
      <c r="F6" s="96"/>
      <c r="G6" s="96"/>
      <c r="H6" s="96"/>
      <c r="I6" s="96"/>
    </row>
    <row r="7" spans="1:13" s="30" customFormat="1" ht="16.5" thickBot="1" x14ac:dyDescent="0.3">
      <c r="A7" s="104" t="s">
        <v>45</v>
      </c>
      <c r="B7" s="104"/>
      <c r="C7" s="104"/>
      <c r="D7" s="96"/>
      <c r="E7" s="96"/>
      <c r="F7" s="96"/>
      <c r="G7" s="96"/>
      <c r="H7" s="96"/>
      <c r="I7" s="96"/>
    </row>
    <row r="8" spans="1:13" s="30" customFormat="1" ht="13.5" customHeight="1" thickBot="1" x14ac:dyDescent="0.3">
      <c r="A8" s="105"/>
      <c r="B8" s="106"/>
      <c r="C8" s="107"/>
      <c r="D8" s="306" t="s">
        <v>6</v>
      </c>
      <c r="E8" s="307"/>
      <c r="F8" s="308"/>
      <c r="G8" s="307" t="s">
        <v>7</v>
      </c>
      <c r="H8" s="307"/>
      <c r="I8" s="308"/>
    </row>
    <row r="9" spans="1:13" s="30" customFormat="1" ht="32.25" thickBot="1" x14ac:dyDescent="0.3">
      <c r="A9" s="108" t="s">
        <v>22</v>
      </c>
      <c r="B9" s="109" t="s">
        <v>41</v>
      </c>
      <c r="C9" s="109" t="s">
        <v>71</v>
      </c>
      <c r="D9" s="110" t="s">
        <v>5</v>
      </c>
      <c r="E9" s="111" t="s">
        <v>8</v>
      </c>
      <c r="F9" s="112" t="s">
        <v>9</v>
      </c>
      <c r="G9" s="113" t="s">
        <v>5</v>
      </c>
      <c r="H9" s="111" t="s">
        <v>8</v>
      </c>
      <c r="I9" s="114" t="s">
        <v>9</v>
      </c>
    </row>
    <row r="10" spans="1:13" s="30" customFormat="1" ht="31.5" x14ac:dyDescent="0.25">
      <c r="A10" s="115" t="s">
        <v>53</v>
      </c>
      <c r="B10" s="116" t="s">
        <v>107</v>
      </c>
      <c r="C10" s="117" t="s">
        <v>170</v>
      </c>
      <c r="D10" s="144">
        <v>3.8</v>
      </c>
      <c r="E10" s="144">
        <v>3.8</v>
      </c>
      <c r="F10" s="144">
        <v>3.8</v>
      </c>
      <c r="G10" s="165"/>
      <c r="H10" s="166"/>
      <c r="I10" s="167"/>
      <c r="J10" s="128"/>
      <c r="K10" s="141"/>
      <c r="L10" s="70">
        <f>SUM(D10:F10)</f>
        <v>11.399999999999999</v>
      </c>
      <c r="M10" s="70">
        <f>SUM(G10:I10)</f>
        <v>0</v>
      </c>
    </row>
    <row r="11" spans="1:13" s="30" customFormat="1" ht="63" x14ac:dyDescent="0.25">
      <c r="A11" s="118" t="s">
        <v>53</v>
      </c>
      <c r="B11" s="119" t="s">
        <v>108</v>
      </c>
      <c r="C11" s="120" t="s">
        <v>129</v>
      </c>
      <c r="D11" s="145">
        <v>4.55</v>
      </c>
      <c r="E11" s="145">
        <v>4.55</v>
      </c>
      <c r="F11" s="145">
        <v>4.55</v>
      </c>
      <c r="G11" s="168"/>
      <c r="H11" s="168"/>
      <c r="I11" s="168"/>
      <c r="J11" s="128" t="s">
        <v>139</v>
      </c>
      <c r="L11" s="70">
        <f>SUM(D11:F11)</f>
        <v>13.649999999999999</v>
      </c>
      <c r="M11" s="70">
        <f>SUM(G11:I11)</f>
        <v>0</v>
      </c>
    </row>
    <row r="12" spans="1:13" s="30" customFormat="1" ht="90" x14ac:dyDescent="0.25">
      <c r="A12" s="118" t="s">
        <v>53</v>
      </c>
      <c r="B12" s="119" t="s">
        <v>49</v>
      </c>
      <c r="C12" s="120" t="s">
        <v>169</v>
      </c>
      <c r="D12" s="146">
        <v>4.5999999999999996</v>
      </c>
      <c r="E12" s="146">
        <v>4.5999999999999996</v>
      </c>
      <c r="F12" s="146">
        <v>4.5999999999999996</v>
      </c>
      <c r="G12" s="169"/>
      <c r="H12" s="169"/>
      <c r="I12" s="169"/>
      <c r="J12" s="94" t="s">
        <v>146</v>
      </c>
      <c r="L12" s="70">
        <f>SUM(D12:F12)</f>
        <v>13.799999999999999</v>
      </c>
      <c r="M12" s="70">
        <f>SUM(G12:I12)</f>
        <v>0</v>
      </c>
    </row>
    <row r="13" spans="1:13" s="30" customFormat="1" ht="31.5" x14ac:dyDescent="0.25">
      <c r="A13" s="118" t="s">
        <v>53</v>
      </c>
      <c r="B13" s="119" t="s">
        <v>109</v>
      </c>
      <c r="C13" s="120" t="s">
        <v>138</v>
      </c>
      <c r="D13" s="146">
        <v>1.1000000000000001</v>
      </c>
      <c r="E13" s="146">
        <v>1.1000000000000001</v>
      </c>
      <c r="F13" s="146">
        <v>1.1000000000000001</v>
      </c>
      <c r="G13" s="169"/>
      <c r="H13" s="170"/>
      <c r="I13" s="171"/>
      <c r="J13" s="129"/>
      <c r="L13" s="70">
        <f>SUM(D13:F13)</f>
        <v>3.3000000000000003</v>
      </c>
    </row>
    <row r="14" spans="1:13" s="30" customFormat="1" ht="15.75" x14ac:dyDescent="0.25">
      <c r="A14" s="118" t="s">
        <v>53</v>
      </c>
      <c r="B14" s="119" t="s">
        <v>52</v>
      </c>
      <c r="C14" s="120" t="s">
        <v>72</v>
      </c>
      <c r="D14" s="146">
        <v>0.2</v>
      </c>
      <c r="E14" s="146">
        <v>0.2</v>
      </c>
      <c r="F14" s="146">
        <v>0.2</v>
      </c>
      <c r="G14" s="169"/>
      <c r="H14" s="169"/>
      <c r="I14" s="169"/>
      <c r="J14" s="129" t="s">
        <v>140</v>
      </c>
      <c r="L14" s="70">
        <f t="shared" ref="L14:L17" si="0">SUM(D14:F14)</f>
        <v>0.60000000000000009</v>
      </c>
      <c r="M14" s="70">
        <f>SUM(G14:I14)</f>
        <v>0</v>
      </c>
    </row>
    <row r="15" spans="1:13" s="30" customFormat="1" ht="31.5" x14ac:dyDescent="0.25">
      <c r="A15" s="118" t="s">
        <v>53</v>
      </c>
      <c r="B15" s="119" t="s">
        <v>50</v>
      </c>
      <c r="C15" s="120" t="s">
        <v>128</v>
      </c>
      <c r="D15" s="146">
        <v>0.4</v>
      </c>
      <c r="E15" s="146">
        <v>0.4</v>
      </c>
      <c r="F15" s="146">
        <v>0.4</v>
      </c>
      <c r="G15" s="146">
        <v>0.9</v>
      </c>
      <c r="H15" s="146">
        <v>0.9</v>
      </c>
      <c r="I15" s="146">
        <v>0.9</v>
      </c>
      <c r="J15" s="129"/>
      <c r="K15" s="94"/>
      <c r="L15" s="70">
        <f>SUM(D15:F15)</f>
        <v>1.2000000000000002</v>
      </c>
      <c r="M15" s="70">
        <f>SUM(G15:I15)</f>
        <v>2.7</v>
      </c>
    </row>
    <row r="16" spans="1:13" s="30" customFormat="1" ht="15.75" x14ac:dyDescent="0.25">
      <c r="A16" s="118" t="s">
        <v>53</v>
      </c>
      <c r="B16" s="119" t="s">
        <v>51</v>
      </c>
      <c r="C16" s="120"/>
      <c r="D16" s="169"/>
      <c r="E16" s="170"/>
      <c r="F16" s="172"/>
      <c r="G16" s="146">
        <v>0.5</v>
      </c>
      <c r="H16" s="146">
        <v>0.5</v>
      </c>
      <c r="I16" s="146">
        <v>0.5</v>
      </c>
      <c r="J16" s="129"/>
      <c r="L16" s="70">
        <f t="shared" si="0"/>
        <v>0</v>
      </c>
      <c r="M16" s="70">
        <f>SUM(G16:I16)</f>
        <v>1.5</v>
      </c>
    </row>
    <row r="17" spans="1:14" s="30" customFormat="1" ht="16.5" thickBot="1" x14ac:dyDescent="0.3">
      <c r="A17" s="118" t="s">
        <v>53</v>
      </c>
      <c r="B17" s="119" t="s">
        <v>61</v>
      </c>
      <c r="C17" s="120" t="s">
        <v>112</v>
      </c>
      <c r="D17" s="147">
        <v>2.8</v>
      </c>
      <c r="E17" s="147">
        <v>2.8</v>
      </c>
      <c r="F17" s="147">
        <v>2.8</v>
      </c>
      <c r="G17" s="173"/>
      <c r="H17" s="173"/>
      <c r="I17" s="173"/>
      <c r="J17" s="129"/>
      <c r="L17" s="70">
        <f t="shared" si="0"/>
        <v>8.3999999999999986</v>
      </c>
      <c r="M17" s="70">
        <f>SUM(G17:I17)</f>
        <v>0</v>
      </c>
    </row>
    <row r="18" spans="1:14" s="30" customFormat="1" ht="16.5" thickBot="1" x14ac:dyDescent="0.3">
      <c r="A18" s="121" t="s">
        <v>23</v>
      </c>
      <c r="B18" s="122"/>
      <c r="C18" s="123"/>
      <c r="D18" s="124">
        <f>SUM(D10:D17)</f>
        <v>17.45</v>
      </c>
      <c r="E18" s="124">
        <f t="shared" ref="E18:H18" si="1">SUM(E10:E17)</f>
        <v>17.45</v>
      </c>
      <c r="F18" s="124">
        <f t="shared" si="1"/>
        <v>17.45</v>
      </c>
      <c r="G18" s="124">
        <f>SUM(G10:G17)</f>
        <v>1.4</v>
      </c>
      <c r="H18" s="124">
        <f t="shared" si="1"/>
        <v>1.4</v>
      </c>
      <c r="I18" s="124">
        <f>SUM(I10:I17)</f>
        <v>1.4</v>
      </c>
      <c r="N18" s="70"/>
    </row>
    <row r="19" spans="1:14" ht="15" x14ac:dyDescent="0.2">
      <c r="A19" s="125"/>
      <c r="B19" s="125"/>
      <c r="C19" s="125"/>
      <c r="D19" s="125"/>
      <c r="E19" s="125"/>
      <c r="F19" s="126"/>
      <c r="G19" s="125"/>
      <c r="H19" s="125"/>
      <c r="I19" s="125"/>
      <c r="J19" s="125"/>
      <c r="K19" s="125"/>
    </row>
    <row r="20" spans="1:14" ht="15" x14ac:dyDescent="0.2">
      <c r="A20" s="125"/>
      <c r="B20" s="125"/>
      <c r="C20" s="125"/>
      <c r="D20" s="125"/>
      <c r="E20" s="125"/>
      <c r="F20" s="125"/>
      <c r="G20" s="125"/>
      <c r="H20" s="126"/>
      <c r="I20" s="125"/>
      <c r="J20" s="125"/>
      <c r="K20" s="125"/>
    </row>
    <row r="21" spans="1:14" ht="15" x14ac:dyDescent="0.2">
      <c r="A21" s="125"/>
      <c r="B21" s="125"/>
      <c r="C21" s="125"/>
      <c r="D21" s="125"/>
      <c r="E21" s="125"/>
      <c r="F21" s="125"/>
      <c r="G21" s="125"/>
      <c r="H21" s="125"/>
      <c r="I21" s="125"/>
      <c r="J21" s="125"/>
      <c r="K21" s="125"/>
    </row>
    <row r="22" spans="1:14" ht="15" x14ac:dyDescent="0.2">
      <c r="A22" s="125"/>
      <c r="B22" s="125"/>
      <c r="C22" s="125"/>
      <c r="D22" s="125"/>
      <c r="E22" s="125"/>
      <c r="F22" s="125"/>
      <c r="G22" s="125"/>
      <c r="H22" s="125"/>
      <c r="I22" s="125"/>
      <c r="J22" s="125"/>
      <c r="K22" s="125"/>
    </row>
    <row r="23" spans="1:14" ht="15" x14ac:dyDescent="0.2">
      <c r="A23" s="125"/>
      <c r="B23" s="125"/>
      <c r="C23" s="125"/>
      <c r="D23" s="125"/>
      <c r="E23" s="125"/>
      <c r="F23" s="125"/>
      <c r="G23" s="125"/>
      <c r="H23" s="125"/>
      <c r="I23" s="125"/>
      <c r="J23" s="125"/>
      <c r="K23" s="125"/>
    </row>
    <row r="24" spans="1:14" ht="15" x14ac:dyDescent="0.2">
      <c r="A24" s="127"/>
      <c r="B24" s="125"/>
      <c r="C24" s="125"/>
      <c r="D24" s="125"/>
      <c r="E24" s="125"/>
      <c r="F24" s="125"/>
      <c r="G24" s="125"/>
      <c r="H24" s="125"/>
      <c r="I24" s="125"/>
      <c r="J24" s="125"/>
      <c r="K24" s="125"/>
    </row>
    <row r="25" spans="1:14" ht="15" x14ac:dyDescent="0.2">
      <c r="A25" s="125"/>
      <c r="B25" s="125"/>
      <c r="C25" s="125"/>
      <c r="D25" s="125"/>
      <c r="E25" s="125"/>
      <c r="F25" s="125"/>
      <c r="G25" s="125"/>
      <c r="H25" s="125"/>
      <c r="I25" s="125"/>
      <c r="J25" s="125"/>
      <c r="K25" s="125"/>
    </row>
    <row r="26" spans="1:14" ht="15" x14ac:dyDescent="0.2">
      <c r="A26" s="125"/>
      <c r="B26" s="125"/>
      <c r="C26" s="125"/>
      <c r="D26" s="125"/>
      <c r="E26" s="125"/>
      <c r="F26" s="125"/>
      <c r="G26" s="125"/>
      <c r="H26" s="125"/>
      <c r="I26" s="125"/>
      <c r="J26" s="125"/>
      <c r="K26" s="125"/>
    </row>
    <row r="31" spans="1:14" x14ac:dyDescent="0.2">
      <c r="E31" s="94"/>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0" zoomScaleNormal="80" zoomScalePageLayoutView="80" workbookViewId="0">
      <selection activeCell="M7" sqref="M7"/>
    </sheetView>
  </sheetViews>
  <sheetFormatPr defaultColWidth="8.85546875" defaultRowHeight="12.75" x14ac:dyDescent="0.2"/>
  <cols>
    <col min="1" max="1" width="15" customWidth="1"/>
    <col min="2" max="4" width="24.42578125" customWidth="1"/>
    <col min="5" max="5" width="22.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Q317</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306" t="s">
        <v>6</v>
      </c>
      <c r="E8" s="307"/>
      <c r="F8" s="308"/>
      <c r="G8" s="307" t="s">
        <v>7</v>
      </c>
      <c r="H8" s="307"/>
      <c r="I8" s="308"/>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31.5" x14ac:dyDescent="0.25">
      <c r="A10" s="115" t="s">
        <v>53</v>
      </c>
      <c r="B10" s="116" t="s">
        <v>107</v>
      </c>
      <c r="C10" s="117" t="s">
        <v>170</v>
      </c>
      <c r="D10" s="144">
        <v>3.8</v>
      </c>
      <c r="E10" s="144">
        <v>3.8</v>
      </c>
      <c r="F10" s="144">
        <v>3.8</v>
      </c>
      <c r="G10" s="165"/>
      <c r="H10" s="166"/>
      <c r="I10" s="167"/>
      <c r="J10" s="128"/>
      <c r="K10" s="141"/>
      <c r="L10" s="70">
        <f>SUM(D10:F10)</f>
        <v>11.399999999999999</v>
      </c>
      <c r="M10" s="70">
        <f>SUM(G10:I10)</f>
        <v>0</v>
      </c>
    </row>
    <row r="11" spans="1:14" s="30" customFormat="1" ht="63" x14ac:dyDescent="0.25">
      <c r="A11" s="118" t="s">
        <v>53</v>
      </c>
      <c r="B11" s="119" t="s">
        <v>108</v>
      </c>
      <c r="C11" s="120" t="s">
        <v>129</v>
      </c>
      <c r="D11" s="145">
        <v>4.13</v>
      </c>
      <c r="E11" s="145">
        <v>4.13</v>
      </c>
      <c r="F11" s="145">
        <v>4.13</v>
      </c>
      <c r="G11" s="168"/>
      <c r="H11" s="168"/>
      <c r="I11" s="168"/>
      <c r="J11" s="128"/>
      <c r="L11" s="70">
        <f>SUM(D11:F11)</f>
        <v>12.39</v>
      </c>
      <c r="M11" s="70">
        <f>SUM(G11:I11)</f>
        <v>0</v>
      </c>
    </row>
    <row r="12" spans="1:14" s="30" customFormat="1" ht="63" x14ac:dyDescent="0.25">
      <c r="A12" s="118" t="s">
        <v>53</v>
      </c>
      <c r="B12" s="119" t="s">
        <v>49</v>
      </c>
      <c r="C12" s="120" t="s">
        <v>184</v>
      </c>
      <c r="D12" s="146">
        <v>3.8</v>
      </c>
      <c r="E12" s="146">
        <v>3.8</v>
      </c>
      <c r="F12" s="146">
        <v>3.8</v>
      </c>
      <c r="G12" s="169"/>
      <c r="H12" s="169"/>
      <c r="I12" s="169"/>
      <c r="J12" s="94"/>
      <c r="L12" s="70">
        <f>SUM(D12:F12)</f>
        <v>11.399999999999999</v>
      </c>
      <c r="M12" s="70">
        <f>SUM(G12:I12)</f>
        <v>0</v>
      </c>
    </row>
    <row r="13" spans="1:14" s="30" customFormat="1" ht="15.75" x14ac:dyDescent="0.25">
      <c r="A13" s="118" t="s">
        <v>53</v>
      </c>
      <c r="B13" s="119" t="s">
        <v>109</v>
      </c>
      <c r="C13" s="120" t="s">
        <v>183</v>
      </c>
      <c r="D13" s="146">
        <v>0.85</v>
      </c>
      <c r="E13" s="146">
        <v>0.85</v>
      </c>
      <c r="F13" s="146">
        <v>0.85</v>
      </c>
      <c r="G13" s="169"/>
      <c r="H13" s="170"/>
      <c r="I13" s="171"/>
      <c r="J13" s="129"/>
      <c r="L13" s="70">
        <f>SUM(D13:F13)</f>
        <v>2.5499999999999998</v>
      </c>
    </row>
    <row r="14" spans="1:14" s="30" customFormat="1" ht="15.75" x14ac:dyDescent="0.25">
      <c r="A14" s="118" t="s">
        <v>53</v>
      </c>
      <c r="B14" s="119" t="s">
        <v>52</v>
      </c>
      <c r="C14" s="120" t="s">
        <v>72</v>
      </c>
      <c r="D14" s="146">
        <v>0.2</v>
      </c>
      <c r="E14" s="146">
        <v>0.2</v>
      </c>
      <c r="F14" s="146">
        <v>0.2</v>
      </c>
      <c r="G14" s="169"/>
      <c r="H14" s="169"/>
      <c r="I14" s="169"/>
      <c r="J14" s="129"/>
      <c r="L14" s="70">
        <f t="shared" ref="L14:L15" si="0">SUM(D14:F14)</f>
        <v>0.60000000000000009</v>
      </c>
      <c r="M14" s="70">
        <f>SUM(G14:I14)</f>
        <v>0</v>
      </c>
    </row>
    <row r="15" spans="1:14" s="30" customFormat="1" ht="16.5" thickBot="1" x14ac:dyDescent="0.3">
      <c r="A15" s="118" t="s">
        <v>53</v>
      </c>
      <c r="B15" s="119" t="s">
        <v>61</v>
      </c>
      <c r="C15" s="120" t="s">
        <v>112</v>
      </c>
      <c r="D15" s="147">
        <v>2.8</v>
      </c>
      <c r="E15" s="147">
        <v>2.8</v>
      </c>
      <c r="F15" s="147">
        <v>2.8</v>
      </c>
      <c r="G15" s="173"/>
      <c r="H15" s="173"/>
      <c r="I15" s="173"/>
      <c r="J15" s="129"/>
      <c r="L15" s="70">
        <f t="shared" si="0"/>
        <v>8.3999999999999986</v>
      </c>
      <c r="M15" s="70">
        <f>SUM(G15:I15)</f>
        <v>0</v>
      </c>
    </row>
    <row r="16" spans="1:14" s="30" customFormat="1" ht="16.5" thickBot="1" x14ac:dyDescent="0.3">
      <c r="A16" s="121" t="s">
        <v>23</v>
      </c>
      <c r="B16" s="122"/>
      <c r="C16" s="123"/>
      <c r="D16" s="124">
        <f t="shared" ref="D16:I16" si="1">SUM(D10:D15)</f>
        <v>15.579999999999998</v>
      </c>
      <c r="E16" s="124">
        <f t="shared" si="1"/>
        <v>15.579999999999998</v>
      </c>
      <c r="F16" s="124">
        <f t="shared" si="1"/>
        <v>15.579999999999998</v>
      </c>
      <c r="G16" s="124">
        <f t="shared" si="1"/>
        <v>0</v>
      </c>
      <c r="H16" s="124">
        <f t="shared" si="1"/>
        <v>0</v>
      </c>
      <c r="I16" s="124">
        <f t="shared" si="1"/>
        <v>0</v>
      </c>
      <c r="N16" s="70"/>
    </row>
    <row r="17" spans="1:11" ht="15" x14ac:dyDescent="0.2">
      <c r="A17" s="125"/>
      <c r="B17" s="125"/>
      <c r="C17" s="125"/>
      <c r="D17" s="125"/>
      <c r="E17" s="125"/>
      <c r="F17" s="126"/>
      <c r="G17" s="125"/>
      <c r="H17" s="125"/>
      <c r="I17" s="125"/>
      <c r="J17" s="125"/>
      <c r="K17" s="125"/>
    </row>
    <row r="18" spans="1:11" ht="15" x14ac:dyDescent="0.2">
      <c r="A18" s="125"/>
      <c r="B18" s="125"/>
      <c r="C18" s="125"/>
      <c r="D18" s="125"/>
      <c r="E18" s="125"/>
      <c r="F18" s="125"/>
      <c r="G18" s="125"/>
      <c r="H18" s="126"/>
      <c r="I18" s="125"/>
      <c r="J18" s="125"/>
      <c r="K18" s="125"/>
    </row>
    <row r="19" spans="1:11" ht="15" x14ac:dyDescent="0.2">
      <c r="A19" s="125"/>
      <c r="B19" s="125"/>
      <c r="C19" s="125"/>
      <c r="D19" s="125"/>
      <c r="E19" s="125"/>
      <c r="F19" s="125"/>
      <c r="G19" s="125"/>
      <c r="H19" s="125"/>
      <c r="I19" s="125"/>
      <c r="J19" s="125"/>
      <c r="K19" s="125"/>
    </row>
    <row r="20" spans="1:11" ht="15" x14ac:dyDescent="0.2">
      <c r="A20" s="125"/>
      <c r="B20" s="125"/>
      <c r="C20" s="125"/>
      <c r="D20" s="125"/>
      <c r="E20" s="125"/>
      <c r="F20" s="125"/>
      <c r="G20" s="125"/>
      <c r="H20" s="125"/>
      <c r="I20" s="125"/>
      <c r="J20" s="125"/>
      <c r="K20" s="125"/>
    </row>
    <row r="21" spans="1:11" ht="15" x14ac:dyDescent="0.2">
      <c r="A21" s="125"/>
      <c r="B21" s="125"/>
      <c r="C21" s="125"/>
      <c r="D21" s="125"/>
      <c r="E21" s="125"/>
      <c r="F21" s="125"/>
      <c r="G21" s="125"/>
      <c r="H21" s="125"/>
      <c r="I21" s="125"/>
      <c r="J21" s="125"/>
      <c r="K21" s="125"/>
    </row>
    <row r="22" spans="1:11" ht="15" x14ac:dyDescent="0.2">
      <c r="A22" s="127"/>
      <c r="B22" s="125"/>
      <c r="C22" s="125"/>
      <c r="D22" s="125"/>
      <c r="E22" s="125"/>
      <c r="F22" s="125"/>
      <c r="G22" s="125"/>
      <c r="H22" s="125"/>
      <c r="I22" s="125"/>
      <c r="J22" s="125"/>
      <c r="K22" s="125"/>
    </row>
    <row r="23" spans="1:11" ht="15" x14ac:dyDescent="0.2">
      <c r="A23" s="125" t="s">
        <v>186</v>
      </c>
      <c r="B23" s="125"/>
      <c r="C23" s="125"/>
      <c r="D23" s="125"/>
      <c r="E23" s="125"/>
      <c r="F23" s="125"/>
      <c r="G23" s="125"/>
      <c r="H23" s="125"/>
      <c r="I23" s="125"/>
      <c r="J23" s="125"/>
      <c r="K23" s="125"/>
    </row>
    <row r="24" spans="1:11" ht="15" x14ac:dyDescent="0.2">
      <c r="A24" s="125" t="s">
        <v>185</v>
      </c>
      <c r="B24" s="125"/>
      <c r="C24" s="125"/>
      <c r="D24" s="125"/>
      <c r="E24" s="125"/>
      <c r="F24" s="125"/>
      <c r="G24" s="125"/>
      <c r="H24" s="125"/>
      <c r="I24" s="125"/>
      <c r="J24" s="125"/>
      <c r="K24" s="125"/>
    </row>
    <row r="28" spans="1:11" x14ac:dyDescent="0.2">
      <c r="E28" s="94"/>
    </row>
  </sheetData>
  <mergeCells count="2">
    <mergeCell ref="D8:F8"/>
    <mergeCell ref="G8:I8"/>
  </mergeCells>
  <pageMargins left="0.74803149606299213" right="0.74803149606299213" top="0.98425196850393704" bottom="0.98425196850393704" header="0.51181102362204722" footer="0.51181102362204722"/>
  <pageSetup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zoomScale="80" zoomScaleNormal="80" zoomScalePageLayoutView="80" workbookViewId="0">
      <selection activeCell="H27" sqref="H27"/>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Q317</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306" t="s">
        <v>6</v>
      </c>
      <c r="E8" s="307"/>
      <c r="F8" s="308"/>
      <c r="G8" s="307" t="s">
        <v>7</v>
      </c>
      <c r="H8" s="307"/>
      <c r="I8" s="308"/>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47.25" x14ac:dyDescent="0.25">
      <c r="A10" s="115" t="s">
        <v>53</v>
      </c>
      <c r="B10" s="116" t="s">
        <v>107</v>
      </c>
      <c r="C10" s="117" t="s">
        <v>299</v>
      </c>
      <c r="D10" s="144">
        <v>4.5</v>
      </c>
      <c r="E10" s="144">
        <v>4.5</v>
      </c>
      <c r="F10" s="144">
        <v>5.9</v>
      </c>
      <c r="G10" s="165"/>
      <c r="H10" s="166"/>
      <c r="I10" s="167"/>
      <c r="J10" s="128"/>
      <c r="K10" s="141"/>
      <c r="L10" s="70">
        <f>SUM(D10:F10)</f>
        <v>14.9</v>
      </c>
      <c r="M10" s="70">
        <f t="shared" ref="M10:M15" si="0">SUM(G10:I10)</f>
        <v>0</v>
      </c>
    </row>
    <row r="11" spans="1:14" s="30" customFormat="1" ht="63" x14ac:dyDescent="0.25">
      <c r="A11" s="118" t="s">
        <v>53</v>
      </c>
      <c r="B11" s="119" t="s">
        <v>108</v>
      </c>
      <c r="C11" s="120" t="s">
        <v>129</v>
      </c>
      <c r="D11" s="145">
        <v>4.6297297297297302</v>
      </c>
      <c r="E11" s="145">
        <v>4.07</v>
      </c>
      <c r="F11" s="145">
        <v>4.07</v>
      </c>
      <c r="G11" s="168"/>
      <c r="H11" s="168"/>
      <c r="I11" s="168"/>
      <c r="J11" s="128"/>
      <c r="L11" s="70">
        <f>SUM(D11:F11)</f>
        <v>12.769729729729731</v>
      </c>
      <c r="M11" s="70">
        <f t="shared" si="0"/>
        <v>0</v>
      </c>
    </row>
    <row r="12" spans="1:14" s="30" customFormat="1" ht="63" x14ac:dyDescent="0.25">
      <c r="A12" s="118" t="s">
        <v>53</v>
      </c>
      <c r="B12" s="119" t="s">
        <v>49</v>
      </c>
      <c r="C12" s="120" t="s">
        <v>184</v>
      </c>
      <c r="D12" s="146">
        <v>4.4000000000000004</v>
      </c>
      <c r="E12" s="146">
        <v>4.4000000000000004</v>
      </c>
      <c r="F12" s="146">
        <v>4.4000000000000004</v>
      </c>
      <c r="G12" s="169"/>
      <c r="H12" s="169"/>
      <c r="I12" s="169"/>
      <c r="J12" s="94"/>
      <c r="L12" s="70">
        <f>SUM(D12:F12)</f>
        <v>13.200000000000001</v>
      </c>
      <c r="M12" s="70">
        <f t="shared" si="0"/>
        <v>0</v>
      </c>
    </row>
    <row r="13" spans="1:14" s="30" customFormat="1" ht="31.5" x14ac:dyDescent="0.25">
      <c r="A13" s="118" t="s">
        <v>53</v>
      </c>
      <c r="B13" s="119" t="s">
        <v>109</v>
      </c>
      <c r="C13" s="120" t="s">
        <v>298</v>
      </c>
      <c r="D13" s="146">
        <v>0.85</v>
      </c>
      <c r="E13" s="146">
        <v>1.35</v>
      </c>
      <c r="F13" s="146">
        <v>1.35</v>
      </c>
      <c r="G13" s="169"/>
      <c r="H13" s="170"/>
      <c r="I13" s="171"/>
      <c r="J13" s="129"/>
      <c r="L13" s="70">
        <f>SUM(D13:F13)</f>
        <v>3.5500000000000003</v>
      </c>
      <c r="M13" s="70">
        <f t="shared" si="0"/>
        <v>0</v>
      </c>
    </row>
    <row r="14" spans="1:14"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4" s="30" customFormat="1" ht="16.5" thickBot="1" x14ac:dyDescent="0.3">
      <c r="A15" s="118" t="s">
        <v>53</v>
      </c>
      <c r="B15" s="119" t="s">
        <v>61</v>
      </c>
      <c r="C15" s="120" t="s">
        <v>112</v>
      </c>
      <c r="D15" s="147">
        <v>2.8</v>
      </c>
      <c r="E15" s="147">
        <v>2.8</v>
      </c>
      <c r="F15" s="147">
        <v>2.2054054054054055</v>
      </c>
      <c r="G15" s="173"/>
      <c r="H15" s="173"/>
      <c r="I15" s="173"/>
      <c r="J15" s="129"/>
      <c r="L15" s="70">
        <f t="shared" si="1"/>
        <v>7.8054054054054056</v>
      </c>
      <c r="M15" s="70">
        <f t="shared" si="0"/>
        <v>0</v>
      </c>
    </row>
    <row r="16" spans="1:14" s="30" customFormat="1" ht="16.5" thickBot="1" x14ac:dyDescent="0.3">
      <c r="A16" s="121" t="s">
        <v>23</v>
      </c>
      <c r="B16" s="122"/>
      <c r="C16" s="123"/>
      <c r="D16" s="124">
        <f t="shared" ref="D16:I16" si="2">SUM(D10:D15)</f>
        <v>17.379729729729728</v>
      </c>
      <c r="E16" s="124">
        <f t="shared" si="2"/>
        <v>17.32</v>
      </c>
      <c r="F16" s="124">
        <f t="shared" si="2"/>
        <v>18.125405405405406</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306" t="s">
        <v>6</v>
      </c>
      <c r="E19" s="307"/>
      <c r="F19" s="308"/>
      <c r="G19" s="307" t="s">
        <v>7</v>
      </c>
      <c r="H19" s="307"/>
      <c r="I19" s="308"/>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c r="D21" s="144">
        <v>0.7</v>
      </c>
      <c r="E21" s="144">
        <v>0.7</v>
      </c>
      <c r="F21" s="144">
        <v>0.7</v>
      </c>
      <c r="G21" s="165"/>
      <c r="H21" s="166"/>
      <c r="I21" s="167"/>
      <c r="J21" s="128"/>
      <c r="K21" s="141"/>
      <c r="L21" s="70">
        <f>SUM(D21:F21)</f>
        <v>2.0999999999999996</v>
      </c>
      <c r="M21" s="70">
        <f>SUM(G21:I21)</f>
        <v>0</v>
      </c>
    </row>
    <row r="22" spans="1:14" s="30" customFormat="1" ht="16.5" thickBot="1" x14ac:dyDescent="0.3">
      <c r="A22" s="118" t="s">
        <v>53</v>
      </c>
      <c r="B22" s="119" t="s">
        <v>274</v>
      </c>
      <c r="C22" s="120"/>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0.99</v>
      </c>
      <c r="E23" s="124">
        <f t="shared" si="3"/>
        <v>0.99</v>
      </c>
      <c r="F23" s="124">
        <f t="shared" si="3"/>
        <v>0.97799999999999998</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zoomScale="80" zoomScaleNormal="80" zoomScalePageLayoutView="80" workbookViewId="0">
      <selection activeCell="D16" sqref="D16:F16"/>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4" s="30" customFormat="1" ht="15.75" thickBot="1" x14ac:dyDescent="0.25">
      <c r="A1" s="96"/>
      <c r="B1" s="96"/>
      <c r="C1" s="96"/>
      <c r="D1" s="96"/>
      <c r="E1" s="96"/>
      <c r="F1" s="96"/>
      <c r="G1" s="96"/>
      <c r="H1" s="96"/>
      <c r="I1" s="96"/>
      <c r="J1" s="96"/>
      <c r="K1" s="96"/>
    </row>
    <row r="2" spans="1:14" s="30" customFormat="1" ht="16.5" thickBot="1" x14ac:dyDescent="0.3">
      <c r="A2" s="97" t="s">
        <v>24</v>
      </c>
      <c r="B2" s="98"/>
      <c r="E2" s="96"/>
      <c r="F2" s="96"/>
      <c r="G2" s="96"/>
      <c r="H2" s="96"/>
      <c r="I2" s="96"/>
    </row>
    <row r="3" spans="1:14" s="30" customFormat="1" ht="15.75" x14ac:dyDescent="0.25">
      <c r="A3" s="99" t="s">
        <v>28</v>
      </c>
      <c r="B3" s="100" t="s">
        <v>53</v>
      </c>
      <c r="E3" s="96"/>
      <c r="F3" s="96"/>
      <c r="G3" s="96"/>
      <c r="H3" s="96"/>
      <c r="I3" s="96"/>
    </row>
    <row r="4" spans="1:14" s="30" customFormat="1" ht="15.75" x14ac:dyDescent="0.25">
      <c r="A4" s="101" t="s">
        <v>25</v>
      </c>
      <c r="B4" s="19" t="str">
        <f>Metrics!B4</f>
        <v>Q317</v>
      </c>
      <c r="E4" s="96"/>
      <c r="F4" s="96"/>
      <c r="G4" s="96"/>
      <c r="H4" s="96"/>
      <c r="I4" s="96"/>
    </row>
    <row r="5" spans="1:14" s="30" customFormat="1" ht="16.5" thickBot="1" x14ac:dyDescent="0.3">
      <c r="A5" s="102" t="s">
        <v>29</v>
      </c>
      <c r="B5" s="103" t="s">
        <v>54</v>
      </c>
      <c r="E5" s="96"/>
      <c r="F5" s="96"/>
      <c r="G5" s="96"/>
      <c r="H5" s="96"/>
      <c r="I5" s="96"/>
    </row>
    <row r="6" spans="1:14" s="30" customFormat="1" ht="15" x14ac:dyDescent="0.2">
      <c r="A6" s="96"/>
      <c r="B6" s="96"/>
      <c r="C6" s="96"/>
      <c r="D6" s="96"/>
      <c r="E6" s="96"/>
      <c r="F6" s="96"/>
      <c r="G6" s="96"/>
      <c r="H6" s="96"/>
      <c r="I6" s="96"/>
    </row>
    <row r="7" spans="1:14" s="30" customFormat="1" ht="16.5" thickBot="1" x14ac:dyDescent="0.3">
      <c r="A7" s="104" t="s">
        <v>45</v>
      </c>
      <c r="B7" s="104"/>
      <c r="C7" s="104"/>
      <c r="D7" s="96"/>
      <c r="E7" s="96"/>
      <c r="F7" s="96"/>
      <c r="G7" s="96"/>
      <c r="H7" s="96"/>
      <c r="I7" s="96"/>
    </row>
    <row r="8" spans="1:14" s="30" customFormat="1" ht="13.5" customHeight="1" thickBot="1" x14ac:dyDescent="0.3">
      <c r="A8" s="105"/>
      <c r="B8" s="106"/>
      <c r="C8" s="107"/>
      <c r="D8" s="306" t="s">
        <v>6</v>
      </c>
      <c r="E8" s="307"/>
      <c r="F8" s="308"/>
      <c r="G8" s="307" t="s">
        <v>7</v>
      </c>
      <c r="H8" s="307"/>
      <c r="I8" s="308"/>
    </row>
    <row r="9" spans="1:14" s="30" customFormat="1" ht="32.25" thickBot="1" x14ac:dyDescent="0.3">
      <c r="A9" s="108" t="s">
        <v>22</v>
      </c>
      <c r="B9" s="109" t="s">
        <v>41</v>
      </c>
      <c r="C9" s="109" t="s">
        <v>71</v>
      </c>
      <c r="D9" s="110" t="s">
        <v>5</v>
      </c>
      <c r="E9" s="111" t="s">
        <v>8</v>
      </c>
      <c r="F9" s="112" t="s">
        <v>9</v>
      </c>
      <c r="G9" s="113" t="s">
        <v>5</v>
      </c>
      <c r="H9" s="111" t="s">
        <v>8</v>
      </c>
      <c r="I9" s="114" t="s">
        <v>9</v>
      </c>
    </row>
    <row r="10" spans="1:14" s="30" customFormat="1" ht="47.25" x14ac:dyDescent="0.25">
      <c r="A10" s="115" t="s">
        <v>53</v>
      </c>
      <c r="B10" s="116" t="s">
        <v>107</v>
      </c>
      <c r="C10" s="117" t="s">
        <v>299</v>
      </c>
      <c r="D10" s="144">
        <v>5.2</v>
      </c>
      <c r="E10" s="144">
        <v>4.5</v>
      </c>
      <c r="F10" s="144">
        <v>4.5</v>
      </c>
      <c r="G10" s="165"/>
      <c r="H10" s="166"/>
      <c r="I10" s="167"/>
      <c r="J10" s="128"/>
      <c r="K10" s="141"/>
      <c r="L10" s="70">
        <f>SUM(D10:F10)</f>
        <v>14.2</v>
      </c>
      <c r="M10" s="70">
        <f t="shared" ref="M10:M15" si="0">SUM(G10:I10)</f>
        <v>0</v>
      </c>
    </row>
    <row r="11" spans="1:14" s="30" customFormat="1" ht="63" x14ac:dyDescent="0.25">
      <c r="A11" s="118" t="s">
        <v>53</v>
      </c>
      <c r="B11" s="119" t="s">
        <v>108</v>
      </c>
      <c r="C11" s="120" t="s">
        <v>129</v>
      </c>
      <c r="D11" s="145">
        <v>3.07</v>
      </c>
      <c r="E11" s="145">
        <v>3.07</v>
      </c>
      <c r="F11" s="145">
        <v>3.07</v>
      </c>
      <c r="G11" s="168"/>
      <c r="H11" s="168"/>
      <c r="I11" s="168"/>
      <c r="J11" s="128"/>
      <c r="L11" s="70">
        <f>SUM(D11:F11)</f>
        <v>9.2099999999999991</v>
      </c>
      <c r="M11" s="70">
        <f t="shared" si="0"/>
        <v>0</v>
      </c>
    </row>
    <row r="12" spans="1:14" s="30" customFormat="1" ht="63" x14ac:dyDescent="0.25">
      <c r="A12" s="118" t="s">
        <v>53</v>
      </c>
      <c r="B12" s="119" t="s">
        <v>317</v>
      </c>
      <c r="C12" s="120" t="s">
        <v>184</v>
      </c>
      <c r="D12" s="146">
        <v>4.5</v>
      </c>
      <c r="E12" s="146">
        <v>4.5</v>
      </c>
      <c r="F12" s="146">
        <v>3.9</v>
      </c>
      <c r="G12" s="169"/>
      <c r="H12" s="169"/>
      <c r="I12" s="169"/>
      <c r="J12" s="94"/>
      <c r="L12" s="70">
        <f>SUM(D12:F12)</f>
        <v>12.9</v>
      </c>
      <c r="M12" s="70">
        <f t="shared" si="0"/>
        <v>0</v>
      </c>
    </row>
    <row r="13" spans="1:14" s="30" customFormat="1" ht="31.5" x14ac:dyDescent="0.25">
      <c r="A13" s="118" t="s">
        <v>53</v>
      </c>
      <c r="B13" s="119" t="s">
        <v>109</v>
      </c>
      <c r="C13" s="120" t="s">
        <v>298</v>
      </c>
      <c r="D13" s="146">
        <v>1.35</v>
      </c>
      <c r="E13" s="146">
        <v>1.35</v>
      </c>
      <c r="F13" s="146">
        <v>1.8</v>
      </c>
      <c r="G13" s="169"/>
      <c r="H13" s="170"/>
      <c r="I13" s="171"/>
      <c r="J13" s="129"/>
      <c r="L13" s="70">
        <f>SUM(D13:F13)</f>
        <v>4.5</v>
      </c>
      <c r="M13" s="70">
        <f t="shared" si="0"/>
        <v>0</v>
      </c>
    </row>
    <row r="14" spans="1:14"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4" s="30" customFormat="1" ht="16.5" thickBot="1" x14ac:dyDescent="0.3">
      <c r="A15" s="118" t="s">
        <v>53</v>
      </c>
      <c r="B15" s="119" t="s">
        <v>61</v>
      </c>
      <c r="C15" s="120" t="s">
        <v>112</v>
      </c>
      <c r="D15" s="147">
        <v>2.0054054054054054</v>
      </c>
      <c r="E15" s="147">
        <v>2.0054054054054054</v>
      </c>
      <c r="F15" s="147">
        <v>2.0054054054054054</v>
      </c>
      <c r="G15" s="173"/>
      <c r="H15" s="173"/>
      <c r="I15" s="173"/>
      <c r="J15" s="129"/>
      <c r="L15" s="70">
        <f t="shared" si="1"/>
        <v>6.0162162162162165</v>
      </c>
      <c r="M15" s="70">
        <f t="shared" si="0"/>
        <v>0</v>
      </c>
    </row>
    <row r="16" spans="1:14" s="30" customFormat="1" ht="16.5" thickBot="1" x14ac:dyDescent="0.3">
      <c r="A16" s="121" t="s">
        <v>23</v>
      </c>
      <c r="B16" s="122"/>
      <c r="C16" s="123"/>
      <c r="D16" s="124">
        <f t="shared" ref="D16:I16" si="2">SUM(D10:D15)</f>
        <v>16.325405405405405</v>
      </c>
      <c r="E16" s="124">
        <f t="shared" si="2"/>
        <v>15.625405405405404</v>
      </c>
      <c r="F16" s="124">
        <f t="shared" si="2"/>
        <v>15.475405405405406</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306" t="s">
        <v>6</v>
      </c>
      <c r="E19" s="307"/>
      <c r="F19" s="308"/>
      <c r="G19" s="307" t="s">
        <v>7</v>
      </c>
      <c r="H19" s="307"/>
      <c r="I19" s="308"/>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144">
        <v>0.38</v>
      </c>
      <c r="E21" s="144">
        <v>0</v>
      </c>
      <c r="F21" s="144">
        <v>0.28000000000000003</v>
      </c>
      <c r="G21" s="165"/>
      <c r="H21" s="166"/>
      <c r="I21" s="167"/>
      <c r="J21" s="128"/>
      <c r="K21" s="141"/>
      <c r="L21" s="70">
        <f>SUM(D21:F21)</f>
        <v>0.66</v>
      </c>
      <c r="M21" s="70">
        <f>SUM(G21:I21)</f>
        <v>0</v>
      </c>
    </row>
    <row r="22" spans="1:14" s="30" customFormat="1" ht="16.5" thickBot="1" x14ac:dyDescent="0.3">
      <c r="A22" s="118" t="s">
        <v>53</v>
      </c>
      <c r="B22" s="119" t="s">
        <v>274</v>
      </c>
      <c r="C22" s="120" t="s">
        <v>318</v>
      </c>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0.66999999999999993</v>
      </c>
      <c r="E23" s="124">
        <f t="shared" si="3"/>
        <v>0.28999999999999998</v>
      </c>
      <c r="F23" s="124">
        <f t="shared" si="3"/>
        <v>0.55800000000000005</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zoomScale="80" zoomScaleNormal="80" zoomScalePageLayoutView="80" workbookViewId="0">
      <selection activeCell="I31" sqref="I31"/>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96"/>
      <c r="B1" s="96"/>
      <c r="C1" s="96"/>
      <c r="D1" s="96"/>
      <c r="E1" s="96"/>
      <c r="F1" s="96"/>
      <c r="G1" s="96"/>
      <c r="H1" s="96"/>
      <c r="I1" s="96"/>
      <c r="J1" s="96"/>
      <c r="K1" s="96"/>
    </row>
    <row r="2" spans="1:18" s="30" customFormat="1" ht="16.5" thickBot="1" x14ac:dyDescent="0.3">
      <c r="A2" s="97" t="s">
        <v>24</v>
      </c>
      <c r="B2" s="98"/>
      <c r="E2" s="96"/>
      <c r="F2" s="96"/>
      <c r="G2" s="96"/>
      <c r="H2" s="96"/>
      <c r="I2" s="96"/>
    </row>
    <row r="3" spans="1:18" s="30" customFormat="1" ht="15.75" x14ac:dyDescent="0.25">
      <c r="A3" s="99" t="s">
        <v>28</v>
      </c>
      <c r="B3" s="100" t="s">
        <v>53</v>
      </c>
      <c r="E3" s="96"/>
      <c r="F3" s="96"/>
      <c r="G3" s="96"/>
      <c r="H3" s="96"/>
      <c r="I3" s="96"/>
    </row>
    <row r="4" spans="1:18" s="30" customFormat="1" ht="15.75" x14ac:dyDescent="0.25">
      <c r="A4" s="101" t="s">
        <v>25</v>
      </c>
      <c r="B4" s="19" t="str">
        <f>Metrics!B4</f>
        <v>Q317</v>
      </c>
      <c r="E4" s="96"/>
      <c r="F4" s="96"/>
      <c r="G4" s="96"/>
      <c r="H4" s="96"/>
      <c r="I4" s="96"/>
      <c r="L4" s="30">
        <v>16.325405405405405</v>
      </c>
      <c r="M4" s="30">
        <v>15.625405405405404</v>
      </c>
      <c r="N4" s="30">
        <v>15.475405405405406</v>
      </c>
      <c r="O4" s="30">
        <v>16.105405405405406</v>
      </c>
      <c r="P4" s="30">
        <v>15.605405405405405</v>
      </c>
      <c r="Q4" s="30">
        <v>15.605405405405405</v>
      </c>
    </row>
    <row r="5" spans="1:18" s="30" customFormat="1" ht="16.5" thickBot="1" x14ac:dyDescent="0.3">
      <c r="A5" s="102" t="s">
        <v>29</v>
      </c>
      <c r="B5" s="103" t="s">
        <v>54</v>
      </c>
      <c r="E5" s="96"/>
      <c r="F5" s="96"/>
      <c r="G5" s="96"/>
      <c r="H5" s="96"/>
      <c r="I5" s="96"/>
    </row>
    <row r="6" spans="1:18" s="30" customFormat="1" ht="15" x14ac:dyDescent="0.2">
      <c r="A6" s="96"/>
      <c r="B6" s="96"/>
      <c r="C6" s="96"/>
      <c r="D6" s="96"/>
      <c r="E6" s="96"/>
      <c r="F6" s="96"/>
      <c r="G6" s="96"/>
      <c r="H6" s="96"/>
      <c r="I6" s="96"/>
    </row>
    <row r="7" spans="1:18" s="30" customFormat="1" ht="16.5" thickBot="1" x14ac:dyDescent="0.3">
      <c r="A7" s="104" t="s">
        <v>45</v>
      </c>
      <c r="B7" s="104"/>
      <c r="C7" s="104"/>
      <c r="D7" s="96"/>
      <c r="E7" s="96"/>
      <c r="F7" s="96"/>
      <c r="G7" s="96"/>
      <c r="H7" s="96"/>
      <c r="I7" s="96"/>
    </row>
    <row r="8" spans="1:18" s="30" customFormat="1" ht="13.5" customHeight="1" thickBot="1" x14ac:dyDescent="0.3">
      <c r="A8" s="105"/>
      <c r="B8" s="106"/>
      <c r="C8" s="107"/>
      <c r="D8" s="306" t="s">
        <v>6</v>
      </c>
      <c r="E8" s="307"/>
      <c r="F8" s="308"/>
      <c r="G8" s="307" t="s">
        <v>7</v>
      </c>
      <c r="H8" s="307"/>
      <c r="I8" s="308"/>
      <c r="O8" s="30">
        <f>AVERAGE(L4:Q4)/17.5</f>
        <v>0.90230888030888023</v>
      </c>
    </row>
    <row r="9" spans="1:18" s="30" customFormat="1" ht="32.25" thickBot="1" x14ac:dyDescent="0.3">
      <c r="A9" s="108" t="s">
        <v>22</v>
      </c>
      <c r="B9" s="109" t="s">
        <v>41</v>
      </c>
      <c r="C9" s="109" t="s">
        <v>71</v>
      </c>
      <c r="D9" s="110" t="s">
        <v>5</v>
      </c>
      <c r="E9" s="111" t="s">
        <v>8</v>
      </c>
      <c r="F9" s="112" t="s">
        <v>9</v>
      </c>
      <c r="G9" s="113" t="s">
        <v>5</v>
      </c>
      <c r="H9" s="111" t="s">
        <v>8</v>
      </c>
      <c r="I9" s="114" t="s">
        <v>9</v>
      </c>
    </row>
    <row r="10" spans="1:18" s="30" customFormat="1" ht="47.25" x14ac:dyDescent="0.25">
      <c r="A10" s="115" t="s">
        <v>53</v>
      </c>
      <c r="B10" s="116" t="s">
        <v>107</v>
      </c>
      <c r="C10" s="117" t="s">
        <v>299</v>
      </c>
      <c r="D10" s="144">
        <v>4.5</v>
      </c>
      <c r="E10" s="144">
        <v>4.5</v>
      </c>
      <c r="F10" s="144">
        <v>4.5</v>
      </c>
      <c r="G10" s="165"/>
      <c r="H10" s="166"/>
      <c r="I10" s="167"/>
      <c r="J10" s="128"/>
      <c r="K10" s="141"/>
      <c r="L10" s="70">
        <f>SUM(D10:F10)</f>
        <v>13.5</v>
      </c>
      <c r="M10" s="70">
        <f t="shared" ref="M10:M15" si="0">SUM(G10:I10)</f>
        <v>0</v>
      </c>
    </row>
    <row r="11" spans="1:18" s="30" customFormat="1" ht="63" x14ac:dyDescent="0.25">
      <c r="A11" s="118" t="s">
        <v>53</v>
      </c>
      <c r="B11" s="119" t="s">
        <v>108</v>
      </c>
      <c r="C11" s="120" t="s">
        <v>129</v>
      </c>
      <c r="D11" s="145">
        <v>3.7</v>
      </c>
      <c r="E11" s="145">
        <v>3.7</v>
      </c>
      <c r="F11" s="145">
        <v>3.7</v>
      </c>
      <c r="G11" s="168"/>
      <c r="H11" s="168"/>
      <c r="I11" s="168"/>
      <c r="J11" s="128"/>
      <c r="L11" s="70">
        <f>SUM(D11:F11)</f>
        <v>11.100000000000001</v>
      </c>
      <c r="M11" s="70">
        <f t="shared" si="0"/>
        <v>0</v>
      </c>
    </row>
    <row r="12" spans="1:18" s="30" customFormat="1" ht="63" x14ac:dyDescent="0.25">
      <c r="A12" s="118" t="s">
        <v>53</v>
      </c>
      <c r="B12" s="119" t="s">
        <v>317</v>
      </c>
      <c r="C12" s="120" t="s">
        <v>184</v>
      </c>
      <c r="D12" s="146">
        <v>3.9</v>
      </c>
      <c r="E12" s="146">
        <v>3.9</v>
      </c>
      <c r="F12" s="146">
        <v>3.9</v>
      </c>
      <c r="G12" s="169"/>
      <c r="H12" s="169"/>
      <c r="I12" s="169"/>
      <c r="J12" s="94"/>
      <c r="L12" s="70">
        <f>SUM(D12:F12)</f>
        <v>11.7</v>
      </c>
      <c r="M12" s="70">
        <f t="shared" si="0"/>
        <v>0</v>
      </c>
      <c r="R12" s="70">
        <f>AVERAGE(D16:F16)</f>
        <v>15.772072072072072</v>
      </c>
    </row>
    <row r="13" spans="1:18" s="30" customFormat="1" ht="15.75" x14ac:dyDescent="0.25">
      <c r="A13" s="118" t="s">
        <v>53</v>
      </c>
      <c r="B13" s="119" t="s">
        <v>109</v>
      </c>
      <c r="C13" s="120" t="s">
        <v>382</v>
      </c>
      <c r="D13" s="146">
        <v>1.8</v>
      </c>
      <c r="E13" s="146">
        <v>1.3</v>
      </c>
      <c r="F13" s="146">
        <v>1.3</v>
      </c>
      <c r="G13" s="169"/>
      <c r="H13" s="170"/>
      <c r="I13" s="171"/>
      <c r="J13" s="129"/>
      <c r="L13" s="70">
        <f>SUM(D13:F13)</f>
        <v>4.4000000000000004</v>
      </c>
      <c r="M13" s="70">
        <f t="shared" si="0"/>
        <v>0</v>
      </c>
    </row>
    <row r="14" spans="1:18"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8" s="30" customFormat="1" ht="16.5" thickBot="1" x14ac:dyDescent="0.3">
      <c r="A15" s="118" t="s">
        <v>53</v>
      </c>
      <c r="B15" s="119" t="s">
        <v>61</v>
      </c>
      <c r="C15" s="120" t="s">
        <v>112</v>
      </c>
      <c r="D15" s="147">
        <v>2.0054054054054054</v>
      </c>
      <c r="E15" s="147">
        <v>2.0054054054054054</v>
      </c>
      <c r="F15" s="147">
        <v>2.0054054054054054</v>
      </c>
      <c r="G15" s="173"/>
      <c r="H15" s="173"/>
      <c r="I15" s="173"/>
      <c r="J15" s="129"/>
      <c r="L15" s="70">
        <f t="shared" si="1"/>
        <v>6.0162162162162165</v>
      </c>
      <c r="M15" s="70">
        <f t="shared" si="0"/>
        <v>0</v>
      </c>
    </row>
    <row r="16" spans="1:18" s="30" customFormat="1" ht="16.5" thickBot="1" x14ac:dyDescent="0.3">
      <c r="A16" s="121" t="s">
        <v>23</v>
      </c>
      <c r="B16" s="122"/>
      <c r="C16" s="123"/>
      <c r="D16" s="124">
        <f t="shared" ref="D16:I16" si="2">SUM(D10:D15)</f>
        <v>16.105405405405406</v>
      </c>
      <c r="E16" s="124">
        <f t="shared" si="2"/>
        <v>15.605405405405405</v>
      </c>
      <c r="F16" s="124">
        <f t="shared" si="2"/>
        <v>15.605405405405405</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306" t="s">
        <v>6</v>
      </c>
      <c r="E19" s="307"/>
      <c r="F19" s="308"/>
      <c r="G19" s="307" t="s">
        <v>7</v>
      </c>
      <c r="H19" s="307"/>
      <c r="I19" s="308"/>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144">
        <v>0.37</v>
      </c>
      <c r="E21" s="144">
        <v>0.37</v>
      </c>
      <c r="F21" s="144">
        <v>0.37</v>
      </c>
      <c r="G21" s="165"/>
      <c r="H21" s="166"/>
      <c r="I21" s="167"/>
      <c r="J21" s="128"/>
      <c r="K21" s="141"/>
      <c r="L21" s="70">
        <f>SUM(D21:F21)</f>
        <v>1.1099999999999999</v>
      </c>
      <c r="M21" s="70">
        <f>SUM(G21:I21)</f>
        <v>0</v>
      </c>
    </row>
    <row r="22" spans="1:14" s="30" customFormat="1" ht="16.5" thickBot="1" x14ac:dyDescent="0.3">
      <c r="A22" s="118" t="s">
        <v>53</v>
      </c>
      <c r="B22" s="119" t="s">
        <v>274</v>
      </c>
      <c r="C22" s="120" t="s">
        <v>318</v>
      </c>
      <c r="D22" s="145">
        <v>0.28999999999999998</v>
      </c>
      <c r="E22" s="145">
        <v>0.28999999999999998</v>
      </c>
      <c r="F22" s="145">
        <v>0.27800000000000002</v>
      </c>
      <c r="G22" s="168"/>
      <c r="H22" s="168"/>
      <c r="I22" s="168"/>
      <c r="J22" s="128"/>
      <c r="L22" s="70">
        <f>SUM(D22:F22)</f>
        <v>0.85799999999999998</v>
      </c>
      <c r="M22" s="70">
        <f>SUM(G22:I22)</f>
        <v>0</v>
      </c>
    </row>
    <row r="23" spans="1:14" s="30" customFormat="1" ht="16.5" thickBot="1" x14ac:dyDescent="0.3">
      <c r="A23" s="121" t="s">
        <v>23</v>
      </c>
      <c r="B23" s="122"/>
      <c r="C23" s="123"/>
      <c r="D23" s="124">
        <f t="shared" ref="D23:I23" si="3">SUM(D21:D22)</f>
        <v>0.65999999999999992</v>
      </c>
      <c r="E23" s="124">
        <f t="shared" si="3"/>
        <v>0.65999999999999992</v>
      </c>
      <c r="F23" s="124">
        <f t="shared" si="3"/>
        <v>0.64800000000000002</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zoomScale="80" zoomScaleNormal="80" zoomScalePageLayoutView="80" workbookViewId="0">
      <selection activeCell="F23" sqref="F2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96"/>
      <c r="B1" s="96"/>
      <c r="C1" s="96"/>
      <c r="D1" s="96"/>
      <c r="E1" s="96"/>
      <c r="F1" s="96"/>
      <c r="G1" s="96"/>
      <c r="H1" s="96"/>
      <c r="I1" s="96"/>
      <c r="J1" s="96"/>
      <c r="K1" s="96"/>
    </row>
    <row r="2" spans="1:18" s="30" customFormat="1" ht="16.5" thickBot="1" x14ac:dyDescent="0.3">
      <c r="A2" s="97" t="s">
        <v>24</v>
      </c>
      <c r="B2" s="98"/>
      <c r="E2" s="96"/>
      <c r="F2" s="96"/>
      <c r="G2" s="96"/>
      <c r="H2" s="96"/>
      <c r="I2" s="96"/>
    </row>
    <row r="3" spans="1:18" s="30" customFormat="1" ht="15.75" x14ac:dyDescent="0.25">
      <c r="A3" s="99" t="s">
        <v>28</v>
      </c>
      <c r="B3" s="100" t="s">
        <v>53</v>
      </c>
      <c r="E3" s="96"/>
      <c r="F3" s="96"/>
      <c r="G3" s="96"/>
      <c r="H3" s="96"/>
      <c r="I3" s="96"/>
    </row>
    <row r="4" spans="1:18" s="30" customFormat="1" ht="15.75" x14ac:dyDescent="0.25">
      <c r="A4" s="101" t="s">
        <v>25</v>
      </c>
      <c r="B4" s="19" t="str">
        <f>Metrics!B4</f>
        <v>Q317</v>
      </c>
      <c r="E4" s="96"/>
      <c r="F4" s="96"/>
      <c r="G4" s="96"/>
      <c r="H4" s="96"/>
      <c r="I4" s="96"/>
      <c r="L4" s="30">
        <v>16.325405405405405</v>
      </c>
      <c r="M4" s="30">
        <v>15.625405405405404</v>
      </c>
      <c r="N4" s="30">
        <v>15.475405405405406</v>
      </c>
      <c r="O4" s="30">
        <v>16.105405405405406</v>
      </c>
      <c r="P4" s="30">
        <v>15.605405405405405</v>
      </c>
      <c r="Q4" s="30">
        <v>15.605405405405405</v>
      </c>
    </row>
    <row r="5" spans="1:18" s="30" customFormat="1" ht="16.5" thickBot="1" x14ac:dyDescent="0.3">
      <c r="A5" s="102" t="s">
        <v>29</v>
      </c>
      <c r="B5" s="103" t="s">
        <v>54</v>
      </c>
      <c r="E5" s="96"/>
      <c r="F5" s="96"/>
      <c r="G5" s="96"/>
      <c r="H5" s="96"/>
      <c r="I5" s="96"/>
    </row>
    <row r="6" spans="1:18" s="30" customFormat="1" ht="15" x14ac:dyDescent="0.2">
      <c r="A6" s="96"/>
      <c r="B6" s="96"/>
      <c r="C6" s="96"/>
      <c r="D6" s="96"/>
      <c r="E6" s="96"/>
      <c r="F6" s="96"/>
      <c r="G6" s="96"/>
      <c r="H6" s="96"/>
      <c r="I6" s="96"/>
    </row>
    <row r="7" spans="1:18" s="30" customFormat="1" ht="16.5" thickBot="1" x14ac:dyDescent="0.3">
      <c r="A7" s="104" t="s">
        <v>45</v>
      </c>
      <c r="B7" s="104"/>
      <c r="C7" s="104"/>
      <c r="D7" s="96"/>
      <c r="E7" s="96"/>
      <c r="F7" s="96"/>
      <c r="G7" s="96"/>
      <c r="H7" s="96"/>
      <c r="I7" s="96"/>
    </row>
    <row r="8" spans="1:18" s="30" customFormat="1" ht="13.5" customHeight="1" thickBot="1" x14ac:dyDescent="0.3">
      <c r="A8" s="105"/>
      <c r="B8" s="106"/>
      <c r="C8" s="107"/>
      <c r="D8" s="306" t="s">
        <v>6</v>
      </c>
      <c r="E8" s="307"/>
      <c r="F8" s="308"/>
      <c r="G8" s="307" t="s">
        <v>7</v>
      </c>
      <c r="H8" s="307"/>
      <c r="I8" s="308"/>
      <c r="O8" s="30">
        <f>AVERAGE(L4:Q4)/17.5</f>
        <v>0.90230888030888023</v>
      </c>
    </row>
    <row r="9" spans="1:18" s="30" customFormat="1" ht="32.25" thickBot="1" x14ac:dyDescent="0.3">
      <c r="A9" s="108" t="s">
        <v>22</v>
      </c>
      <c r="B9" s="109" t="s">
        <v>41</v>
      </c>
      <c r="C9" s="109" t="s">
        <v>71</v>
      </c>
      <c r="D9" s="110" t="s">
        <v>5</v>
      </c>
      <c r="E9" s="111" t="s">
        <v>8</v>
      </c>
      <c r="F9" s="112" t="s">
        <v>9</v>
      </c>
      <c r="G9" s="113" t="s">
        <v>5</v>
      </c>
      <c r="H9" s="111" t="s">
        <v>8</v>
      </c>
      <c r="I9" s="114" t="s">
        <v>9</v>
      </c>
    </row>
    <row r="10" spans="1:18" s="30" customFormat="1" ht="47.25" x14ac:dyDescent="0.25">
      <c r="A10" s="115" t="s">
        <v>53</v>
      </c>
      <c r="B10" s="116" t="s">
        <v>107</v>
      </c>
      <c r="C10" s="117" t="s">
        <v>299</v>
      </c>
      <c r="D10" s="144"/>
      <c r="E10" s="144"/>
      <c r="F10" s="144"/>
      <c r="G10" s="165"/>
      <c r="H10" s="166"/>
      <c r="I10" s="167"/>
      <c r="J10" s="128"/>
      <c r="K10" s="141"/>
      <c r="L10" s="70">
        <f>SUM(D10:F10)</f>
        <v>0</v>
      </c>
      <c r="M10" s="70">
        <f t="shared" ref="M10:M15" si="0">SUM(G10:I10)</f>
        <v>0</v>
      </c>
    </row>
    <row r="11" spans="1:18" s="30" customFormat="1" ht="63" x14ac:dyDescent="0.25">
      <c r="A11" s="118" t="s">
        <v>53</v>
      </c>
      <c r="B11" s="119" t="s">
        <v>108</v>
      </c>
      <c r="C11" s="120" t="s">
        <v>129</v>
      </c>
      <c r="D11" s="145"/>
      <c r="E11" s="145"/>
      <c r="F11" s="145"/>
      <c r="G11" s="168"/>
      <c r="H11" s="168"/>
      <c r="I11" s="168"/>
      <c r="J11" s="128"/>
      <c r="L11" s="70">
        <f>SUM(D11:F11)</f>
        <v>0</v>
      </c>
      <c r="M11" s="70">
        <f t="shared" si="0"/>
        <v>0</v>
      </c>
    </row>
    <row r="12" spans="1:18" s="30" customFormat="1" ht="63" x14ac:dyDescent="0.25">
      <c r="A12" s="118" t="s">
        <v>53</v>
      </c>
      <c r="B12" s="119" t="s">
        <v>317</v>
      </c>
      <c r="C12" s="120" t="s">
        <v>184</v>
      </c>
      <c r="D12" s="146"/>
      <c r="E12" s="146"/>
      <c r="F12" s="146"/>
      <c r="G12" s="169"/>
      <c r="H12" s="169"/>
      <c r="I12" s="169"/>
      <c r="J12" s="94"/>
      <c r="L12" s="70">
        <f>SUM(D12:F12)</f>
        <v>0</v>
      </c>
      <c r="M12" s="70">
        <f t="shared" si="0"/>
        <v>0</v>
      </c>
      <c r="R12" s="70">
        <f>AVERAGE(D16:F16)</f>
        <v>0</v>
      </c>
    </row>
    <row r="13" spans="1:18" s="30" customFormat="1" ht="15.75" x14ac:dyDescent="0.25">
      <c r="A13" s="118" t="s">
        <v>53</v>
      </c>
      <c r="B13" s="119" t="s">
        <v>109</v>
      </c>
      <c r="C13" s="120" t="s">
        <v>382</v>
      </c>
      <c r="D13" s="146"/>
      <c r="E13" s="146"/>
      <c r="F13" s="146"/>
      <c r="G13" s="169"/>
      <c r="H13" s="170"/>
      <c r="I13" s="171"/>
      <c r="J13" s="129"/>
      <c r="L13" s="70">
        <f>SUM(D13:F13)</f>
        <v>0</v>
      </c>
      <c r="M13" s="70">
        <f t="shared" si="0"/>
        <v>0</v>
      </c>
    </row>
    <row r="14" spans="1:18" s="30" customFormat="1" ht="15.75" x14ac:dyDescent="0.25">
      <c r="A14" s="118" t="s">
        <v>53</v>
      </c>
      <c r="B14" s="119" t="s">
        <v>52</v>
      </c>
      <c r="C14" s="120" t="s">
        <v>72</v>
      </c>
      <c r="D14" s="146"/>
      <c r="E14" s="146"/>
      <c r="F14" s="146"/>
      <c r="G14" s="169"/>
      <c r="H14" s="169"/>
      <c r="I14" s="169"/>
      <c r="J14" s="129"/>
      <c r="L14" s="70">
        <f t="shared" ref="L14:L15" si="1">SUM(D14:F14)</f>
        <v>0</v>
      </c>
      <c r="M14" s="70">
        <f t="shared" si="0"/>
        <v>0</v>
      </c>
    </row>
    <row r="15" spans="1:18" s="30" customFormat="1" ht="16.5" thickBot="1" x14ac:dyDescent="0.3">
      <c r="A15" s="118" t="s">
        <v>53</v>
      </c>
      <c r="B15" s="119" t="s">
        <v>61</v>
      </c>
      <c r="C15" s="120" t="s">
        <v>112</v>
      </c>
      <c r="D15" s="147"/>
      <c r="E15" s="147"/>
      <c r="F15" s="147"/>
      <c r="G15" s="173"/>
      <c r="H15" s="173"/>
      <c r="I15" s="173"/>
      <c r="J15" s="129"/>
      <c r="L15" s="70">
        <f t="shared" si="1"/>
        <v>0</v>
      </c>
      <c r="M15" s="70">
        <f t="shared" si="0"/>
        <v>0</v>
      </c>
    </row>
    <row r="16" spans="1:18" s="30" customFormat="1" ht="16.5" thickBot="1" x14ac:dyDescent="0.3">
      <c r="A16" s="121" t="s">
        <v>23</v>
      </c>
      <c r="B16" s="122"/>
      <c r="C16" s="123"/>
      <c r="D16" s="124">
        <f t="shared" ref="D16:I16" si="2">SUM(D10:D15)</f>
        <v>0</v>
      </c>
      <c r="E16" s="124">
        <f t="shared" si="2"/>
        <v>0</v>
      </c>
      <c r="F16" s="124">
        <f t="shared" si="2"/>
        <v>0</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306" t="s">
        <v>6</v>
      </c>
      <c r="E19" s="307"/>
      <c r="F19" s="308"/>
      <c r="G19" s="307" t="s">
        <v>7</v>
      </c>
      <c r="H19" s="307"/>
      <c r="I19" s="308"/>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144"/>
      <c r="E21" s="144"/>
      <c r="F21" s="144"/>
      <c r="G21" s="165"/>
      <c r="H21" s="166"/>
      <c r="I21" s="167"/>
      <c r="J21" s="128"/>
      <c r="K21" s="141"/>
      <c r="L21" s="70">
        <f>SUM(D21:F21)</f>
        <v>0</v>
      </c>
      <c r="M21" s="70">
        <f>SUM(G21:I21)</f>
        <v>0</v>
      </c>
    </row>
    <row r="22" spans="1:14" s="30" customFormat="1" ht="16.5" thickBot="1" x14ac:dyDescent="0.3">
      <c r="A22" s="118" t="s">
        <v>53</v>
      </c>
      <c r="B22" s="119" t="s">
        <v>274</v>
      </c>
      <c r="C22" s="120" t="s">
        <v>318</v>
      </c>
      <c r="D22" s="145">
        <v>0</v>
      </c>
      <c r="E22" s="145">
        <v>0</v>
      </c>
      <c r="F22" s="145">
        <v>0</v>
      </c>
      <c r="G22" s="168"/>
      <c r="H22" s="168"/>
      <c r="I22" s="168"/>
      <c r="J22" s="128"/>
      <c r="L22" s="70">
        <f>SUM(D22:F22)</f>
        <v>0</v>
      </c>
      <c r="M22" s="70">
        <f>SUM(G22:I22)</f>
        <v>0</v>
      </c>
    </row>
    <row r="23" spans="1:14" s="30" customFormat="1" ht="16.5" thickBot="1" x14ac:dyDescent="0.3">
      <c r="A23" s="121" t="s">
        <v>23</v>
      </c>
      <c r="B23" s="122"/>
      <c r="C23" s="123"/>
      <c r="D23" s="124">
        <f t="shared" ref="D23:I23" si="3">SUM(D21:D22)</f>
        <v>0</v>
      </c>
      <c r="E23" s="124">
        <f t="shared" si="3"/>
        <v>0</v>
      </c>
      <c r="F23" s="124">
        <f t="shared" si="3"/>
        <v>0</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workbookViewId="0">
      <selection activeCell="A22" sqref="A22"/>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96"/>
      <c r="B1" s="96"/>
      <c r="C1" s="96"/>
      <c r="D1" s="96"/>
      <c r="E1" s="96"/>
      <c r="F1" s="96"/>
      <c r="G1" s="96"/>
      <c r="H1" s="96"/>
      <c r="I1" s="96"/>
      <c r="J1" s="96"/>
      <c r="K1" s="96"/>
    </row>
    <row r="2" spans="1:18" s="30" customFormat="1" ht="16.5" thickBot="1" x14ac:dyDescent="0.3">
      <c r="A2" s="97" t="s">
        <v>24</v>
      </c>
      <c r="B2" s="98"/>
      <c r="E2" s="96"/>
      <c r="F2" s="96"/>
      <c r="G2" s="96"/>
      <c r="H2" s="96"/>
      <c r="I2" s="96"/>
    </row>
    <row r="3" spans="1:18" s="30" customFormat="1" ht="15.75" x14ac:dyDescent="0.25">
      <c r="A3" s="99" t="s">
        <v>28</v>
      </c>
      <c r="B3" s="100" t="s">
        <v>53</v>
      </c>
      <c r="E3" s="96"/>
      <c r="F3" s="96"/>
      <c r="G3" s="96"/>
      <c r="H3" s="96"/>
      <c r="I3" s="96"/>
    </row>
    <row r="4" spans="1:18" s="30" customFormat="1" ht="15.75" x14ac:dyDescent="0.25">
      <c r="A4" s="101" t="s">
        <v>25</v>
      </c>
      <c r="B4" s="19" t="str">
        <f>Metrics!B4</f>
        <v>Q317</v>
      </c>
      <c r="E4" s="96"/>
      <c r="F4" s="96"/>
      <c r="G4" s="96"/>
      <c r="H4" s="96"/>
      <c r="I4" s="96"/>
      <c r="L4" s="30">
        <v>16.325405405405405</v>
      </c>
      <c r="M4" s="30">
        <v>15.625405405405404</v>
      </c>
      <c r="N4" s="30">
        <v>15.475405405405406</v>
      </c>
      <c r="O4" s="30">
        <v>16.105405405405406</v>
      </c>
      <c r="P4" s="30">
        <v>15.605405405405405</v>
      </c>
      <c r="Q4" s="30">
        <v>15.605405405405405</v>
      </c>
    </row>
    <row r="5" spans="1:18" s="30" customFormat="1" ht="16.5" thickBot="1" x14ac:dyDescent="0.3">
      <c r="A5" s="102" t="s">
        <v>29</v>
      </c>
      <c r="B5" s="103" t="s">
        <v>54</v>
      </c>
      <c r="E5" s="96"/>
      <c r="F5" s="96"/>
      <c r="G5" s="96"/>
      <c r="H5" s="96"/>
      <c r="I5" s="96"/>
    </row>
    <row r="6" spans="1:18" s="30" customFormat="1" ht="15" x14ac:dyDescent="0.2">
      <c r="A6" s="96"/>
      <c r="B6" s="96"/>
      <c r="C6" s="96"/>
      <c r="D6" s="96"/>
      <c r="E6" s="96"/>
      <c r="F6" s="96"/>
      <c r="G6" s="96"/>
      <c r="H6" s="96"/>
      <c r="I6" s="96"/>
    </row>
    <row r="7" spans="1:18" s="30" customFormat="1" ht="16.5" thickBot="1" x14ac:dyDescent="0.3">
      <c r="A7" s="104" t="s">
        <v>45</v>
      </c>
      <c r="B7" s="104"/>
      <c r="C7" s="104"/>
      <c r="D7" s="96"/>
      <c r="E7" s="96"/>
      <c r="F7" s="96"/>
      <c r="G7" s="96"/>
      <c r="H7" s="96"/>
      <c r="I7" s="96"/>
    </row>
    <row r="8" spans="1:18" s="30" customFormat="1" ht="13.5" customHeight="1" thickBot="1" x14ac:dyDescent="0.3">
      <c r="A8" s="105"/>
      <c r="B8" s="106"/>
      <c r="C8" s="107"/>
      <c r="D8" s="306" t="s">
        <v>6</v>
      </c>
      <c r="E8" s="307"/>
      <c r="F8" s="308"/>
      <c r="G8" s="307" t="s">
        <v>7</v>
      </c>
      <c r="H8" s="307"/>
      <c r="I8" s="308"/>
      <c r="O8" s="30">
        <f>AVERAGE(L4:Q4)/17.5</f>
        <v>0.90230888030888023</v>
      </c>
    </row>
    <row r="9" spans="1:18" s="30" customFormat="1" ht="32.25" thickBot="1" x14ac:dyDescent="0.3">
      <c r="A9" s="108" t="s">
        <v>22</v>
      </c>
      <c r="B9" s="109" t="s">
        <v>41</v>
      </c>
      <c r="C9" s="109" t="s">
        <v>71</v>
      </c>
      <c r="D9" s="110" t="s">
        <v>5</v>
      </c>
      <c r="E9" s="111" t="s">
        <v>8</v>
      </c>
      <c r="F9" s="112" t="s">
        <v>9</v>
      </c>
      <c r="G9" s="113" t="s">
        <v>5</v>
      </c>
      <c r="H9" s="111" t="s">
        <v>8</v>
      </c>
      <c r="I9" s="114" t="s">
        <v>9</v>
      </c>
    </row>
    <row r="10" spans="1:18" s="30" customFormat="1" ht="47.25" x14ac:dyDescent="0.25">
      <c r="A10" s="115" t="s">
        <v>53</v>
      </c>
      <c r="B10" s="116" t="s">
        <v>107</v>
      </c>
      <c r="C10" s="117" t="s">
        <v>299</v>
      </c>
      <c r="D10" s="146">
        <v>3.8</v>
      </c>
      <c r="E10" s="146">
        <v>4</v>
      </c>
      <c r="F10" s="146">
        <v>4</v>
      </c>
      <c r="G10" s="165"/>
      <c r="H10" s="166"/>
      <c r="I10" s="167"/>
      <c r="J10" s="128"/>
      <c r="K10" s="141"/>
      <c r="L10" s="70">
        <f>SUM(D10:F10)</f>
        <v>11.8</v>
      </c>
      <c r="M10" s="70">
        <f t="shared" ref="M10:M15" si="0">SUM(G10:I10)</f>
        <v>0</v>
      </c>
    </row>
    <row r="11" spans="1:18" s="30" customFormat="1" ht="63" x14ac:dyDescent="0.25">
      <c r="A11" s="118" t="s">
        <v>53</v>
      </c>
      <c r="B11" s="119" t="s">
        <v>108</v>
      </c>
      <c r="C11" s="120" t="s">
        <v>129</v>
      </c>
      <c r="D11" s="146">
        <v>3.7297297297297298</v>
      </c>
      <c r="E11" s="146">
        <v>3.7297297297297298</v>
      </c>
      <c r="F11" s="146">
        <v>3.5297297297297296</v>
      </c>
      <c r="G11" s="168"/>
      <c r="H11" s="168"/>
      <c r="I11" s="168"/>
      <c r="J11" s="128"/>
      <c r="L11" s="70">
        <f>SUM(D11:F11)</f>
        <v>10.98918918918919</v>
      </c>
      <c r="M11" s="70">
        <f t="shared" si="0"/>
        <v>0</v>
      </c>
    </row>
    <row r="12" spans="1:18" s="30" customFormat="1" ht="63" x14ac:dyDescent="0.25">
      <c r="A12" s="118" t="s">
        <v>53</v>
      </c>
      <c r="B12" s="119" t="s">
        <v>317</v>
      </c>
      <c r="C12" s="120" t="s">
        <v>184</v>
      </c>
      <c r="D12" s="146">
        <v>4.1000000000000005</v>
      </c>
      <c r="E12" s="146">
        <v>4.1000000000000005</v>
      </c>
      <c r="F12" s="146">
        <v>3.5000000000000004</v>
      </c>
      <c r="G12" s="169"/>
      <c r="H12" s="169"/>
      <c r="I12" s="169"/>
      <c r="J12" s="94"/>
      <c r="L12" s="70">
        <f>SUM(D12:F12)</f>
        <v>11.700000000000001</v>
      </c>
      <c r="M12" s="70">
        <f t="shared" si="0"/>
        <v>0</v>
      </c>
      <c r="R12" s="70">
        <f>AVERAGE(D16:F16)</f>
        <v>14.506396396396397</v>
      </c>
    </row>
    <row r="13" spans="1:18" s="30" customFormat="1" ht="15.75" x14ac:dyDescent="0.25">
      <c r="A13" s="118" t="s">
        <v>53</v>
      </c>
      <c r="B13" s="119" t="s">
        <v>109</v>
      </c>
      <c r="C13" s="120" t="s">
        <v>382</v>
      </c>
      <c r="D13" s="146">
        <v>1.3</v>
      </c>
      <c r="E13" s="146">
        <v>1.3</v>
      </c>
      <c r="F13" s="146">
        <v>1.3</v>
      </c>
      <c r="G13" s="169"/>
      <c r="H13" s="170"/>
      <c r="I13" s="171"/>
      <c r="J13" s="129"/>
      <c r="L13" s="70">
        <f>SUM(D13:F13)</f>
        <v>3.9000000000000004</v>
      </c>
      <c r="M13" s="70">
        <f t="shared" si="0"/>
        <v>0</v>
      </c>
    </row>
    <row r="14" spans="1:18" s="30" customFormat="1" ht="15.75" x14ac:dyDescent="0.25">
      <c r="A14" s="118" t="s">
        <v>53</v>
      </c>
      <c r="B14" s="119" t="s">
        <v>52</v>
      </c>
      <c r="C14" s="120" t="s">
        <v>72</v>
      </c>
      <c r="D14" s="146">
        <v>0.2</v>
      </c>
      <c r="E14" s="146">
        <v>0.2</v>
      </c>
      <c r="F14" s="146">
        <v>0.2</v>
      </c>
      <c r="G14" s="169"/>
      <c r="H14" s="169"/>
      <c r="I14" s="169"/>
      <c r="J14" s="129"/>
      <c r="L14" s="70">
        <f t="shared" ref="L14:L15" si="1">SUM(D14:F14)</f>
        <v>0.60000000000000009</v>
      </c>
      <c r="M14" s="70">
        <f t="shared" si="0"/>
        <v>0</v>
      </c>
    </row>
    <row r="15" spans="1:18" s="30" customFormat="1" ht="16.5" thickBot="1" x14ac:dyDescent="0.3">
      <c r="A15" s="118" t="s">
        <v>53</v>
      </c>
      <c r="B15" s="119" t="s">
        <v>61</v>
      </c>
      <c r="C15" s="120" t="s">
        <v>112</v>
      </c>
      <c r="D15" s="147">
        <v>1.31</v>
      </c>
      <c r="E15" s="147">
        <v>1.31</v>
      </c>
      <c r="F15" s="147">
        <v>1.91</v>
      </c>
      <c r="G15" s="173"/>
      <c r="H15" s="173"/>
      <c r="I15" s="173"/>
      <c r="J15" s="129"/>
      <c r="L15" s="70">
        <f t="shared" si="1"/>
        <v>4.53</v>
      </c>
      <c r="M15" s="70">
        <f t="shared" si="0"/>
        <v>0</v>
      </c>
    </row>
    <row r="16" spans="1:18" s="30" customFormat="1" ht="16.5" thickBot="1" x14ac:dyDescent="0.3">
      <c r="A16" s="121" t="s">
        <v>23</v>
      </c>
      <c r="B16" s="122"/>
      <c r="C16" s="123"/>
      <c r="D16" s="146">
        <f t="shared" ref="D16:I16" si="2">SUM(D10:D15)</f>
        <v>14.439729729729731</v>
      </c>
      <c r="E16" s="146">
        <f t="shared" si="2"/>
        <v>14.639729729729732</v>
      </c>
      <c r="F16" s="146">
        <f t="shared" si="2"/>
        <v>14.439729729729731</v>
      </c>
      <c r="G16" s="124">
        <f t="shared" si="2"/>
        <v>0</v>
      </c>
      <c r="H16" s="124">
        <f t="shared" si="2"/>
        <v>0</v>
      </c>
      <c r="I16" s="124">
        <f t="shared" si="2"/>
        <v>0</v>
      </c>
      <c r="N16" s="70"/>
    </row>
    <row r="17" spans="1:14" ht="15" x14ac:dyDescent="0.2">
      <c r="A17" s="125"/>
      <c r="B17" s="125"/>
      <c r="C17" s="125"/>
      <c r="D17" s="125"/>
      <c r="E17" s="125"/>
      <c r="F17" s="126"/>
      <c r="G17" s="125"/>
      <c r="H17" s="125"/>
      <c r="I17" s="125"/>
      <c r="J17" s="125"/>
      <c r="K17" s="125"/>
    </row>
    <row r="18" spans="1:14" ht="15.75" thickBot="1" x14ac:dyDescent="0.25">
      <c r="A18" s="125"/>
      <c r="B18" s="125"/>
      <c r="C18" s="125"/>
      <c r="D18" s="125"/>
      <c r="E18" s="125"/>
      <c r="F18" s="125"/>
      <c r="G18" s="125"/>
      <c r="H18" s="126"/>
      <c r="I18" s="125"/>
      <c r="J18" s="125"/>
      <c r="K18" s="125"/>
    </row>
    <row r="19" spans="1:14" s="30" customFormat="1" ht="13.5" customHeight="1" thickBot="1" x14ac:dyDescent="0.3">
      <c r="A19" s="105"/>
      <c r="B19" s="106"/>
      <c r="C19" s="107"/>
      <c r="D19" s="306" t="s">
        <v>6</v>
      </c>
      <c r="E19" s="307"/>
      <c r="F19" s="308"/>
      <c r="G19" s="307" t="s">
        <v>7</v>
      </c>
      <c r="H19" s="307"/>
      <c r="I19" s="308"/>
    </row>
    <row r="20" spans="1:14" s="30" customFormat="1" ht="32.25" thickBot="1" x14ac:dyDescent="0.3">
      <c r="A20" s="108" t="s">
        <v>22</v>
      </c>
      <c r="B20" s="109" t="s">
        <v>41</v>
      </c>
      <c r="C20" s="109" t="s">
        <v>71</v>
      </c>
      <c r="D20" s="110" t="s">
        <v>5</v>
      </c>
      <c r="E20" s="111" t="s">
        <v>8</v>
      </c>
      <c r="F20" s="112" t="s">
        <v>9</v>
      </c>
      <c r="G20" s="113" t="s">
        <v>5</v>
      </c>
      <c r="H20" s="111" t="s">
        <v>8</v>
      </c>
      <c r="I20" s="114" t="s">
        <v>9</v>
      </c>
    </row>
    <row r="21" spans="1:14" s="30" customFormat="1" ht="15.75" x14ac:dyDescent="0.25">
      <c r="A21" s="115" t="s">
        <v>53</v>
      </c>
      <c r="B21" s="116" t="s">
        <v>273</v>
      </c>
      <c r="C21" s="117" t="s">
        <v>319</v>
      </c>
      <c r="D21" s="290">
        <v>0.7</v>
      </c>
      <c r="E21" s="290">
        <v>0.7</v>
      </c>
      <c r="F21" s="290">
        <v>0.7</v>
      </c>
      <c r="G21" s="165"/>
      <c r="H21" s="166"/>
      <c r="I21" s="167"/>
      <c r="J21" s="128"/>
      <c r="K21" s="141"/>
      <c r="L21" s="70">
        <f>SUM(D21:F21)</f>
        <v>2.0999999999999996</v>
      </c>
      <c r="M21" s="70">
        <f>SUM(G21:I21)</f>
        <v>0</v>
      </c>
    </row>
    <row r="22" spans="1:14" s="30" customFormat="1" ht="16.5" thickBot="1" x14ac:dyDescent="0.3">
      <c r="A22" s="118" t="s">
        <v>53</v>
      </c>
      <c r="B22" s="119" t="s">
        <v>274</v>
      </c>
      <c r="C22" s="120" t="s">
        <v>426</v>
      </c>
      <c r="D22" s="291">
        <v>0</v>
      </c>
      <c r="E22" s="291">
        <v>0</v>
      </c>
      <c r="F22" s="291">
        <v>0</v>
      </c>
      <c r="G22" s="168"/>
      <c r="H22" s="168"/>
      <c r="I22" s="168"/>
      <c r="J22" s="128"/>
      <c r="L22" s="70">
        <f>SUM(D22:F22)</f>
        <v>0</v>
      </c>
      <c r="M22" s="70">
        <f>SUM(G22:I22)</f>
        <v>0</v>
      </c>
    </row>
    <row r="23" spans="1:14" s="30" customFormat="1" ht="16.5" thickBot="1" x14ac:dyDescent="0.3">
      <c r="A23" s="121" t="s">
        <v>23</v>
      </c>
      <c r="B23" s="122"/>
      <c r="C23" s="123"/>
      <c r="D23" s="124">
        <f t="shared" ref="D23:I23" si="3">SUM(D21:D22)</f>
        <v>0.7</v>
      </c>
      <c r="E23" s="124">
        <f t="shared" si="3"/>
        <v>0.7</v>
      </c>
      <c r="F23" s="124">
        <f t="shared" si="3"/>
        <v>0.7</v>
      </c>
      <c r="G23" s="124">
        <f t="shared" si="3"/>
        <v>0</v>
      </c>
      <c r="H23" s="124">
        <f t="shared" si="3"/>
        <v>0</v>
      </c>
      <c r="I23" s="124">
        <f t="shared" si="3"/>
        <v>0</v>
      </c>
    </row>
    <row r="24" spans="1:14" s="30" customFormat="1" ht="15" x14ac:dyDescent="0.2">
      <c r="A24" s="125"/>
      <c r="B24" s="125"/>
      <c r="C24" s="125"/>
      <c r="D24" s="125"/>
      <c r="E24" s="125"/>
      <c r="F24" s="125"/>
      <c r="G24" s="125"/>
      <c r="H24" s="125"/>
      <c r="I24" s="125"/>
      <c r="J24" s="125"/>
      <c r="K24" s="125"/>
      <c r="L24"/>
      <c r="M24"/>
    </row>
    <row r="25" spans="1:14" s="30" customFormat="1" ht="15" x14ac:dyDescent="0.2">
      <c r="A25" s="125"/>
      <c r="B25" s="125"/>
      <c r="C25" s="125"/>
      <c r="D25" s="125"/>
      <c r="E25" s="125"/>
      <c r="F25" s="125"/>
      <c r="G25" s="125"/>
      <c r="H25" s="125"/>
      <c r="I25" s="125"/>
      <c r="J25" s="125"/>
      <c r="K25" s="125"/>
      <c r="L25"/>
      <c r="M25"/>
    </row>
    <row r="26" spans="1:14" s="30" customFormat="1" ht="15" x14ac:dyDescent="0.2">
      <c r="A26" s="125"/>
      <c r="B26" s="125"/>
      <c r="C26" s="125"/>
      <c r="D26" s="125"/>
      <c r="E26" s="125"/>
      <c r="F26" s="125"/>
      <c r="G26" s="125"/>
      <c r="H26" s="125"/>
      <c r="I26" s="125"/>
      <c r="J26" s="125"/>
      <c r="K26" s="125"/>
      <c r="L26"/>
      <c r="M26"/>
    </row>
    <row r="27" spans="1:14" s="30" customFormat="1" ht="15" x14ac:dyDescent="0.2">
      <c r="A27" s="127"/>
      <c r="B27" s="125"/>
      <c r="C27" s="125"/>
      <c r="D27" s="125"/>
      <c r="E27" s="125"/>
      <c r="F27" s="125"/>
      <c r="G27" s="125"/>
      <c r="H27" s="125"/>
      <c r="I27" s="125"/>
      <c r="J27" s="125"/>
      <c r="K27" s="125"/>
      <c r="L27"/>
      <c r="M27"/>
      <c r="N27" s="70"/>
    </row>
    <row r="28" spans="1:14" ht="15" x14ac:dyDescent="0.2">
      <c r="A28" s="125" t="s">
        <v>186</v>
      </c>
      <c r="B28" s="125"/>
      <c r="C28" s="125"/>
      <c r="D28" s="125"/>
      <c r="E28" s="125"/>
      <c r="F28" s="125"/>
      <c r="G28" s="125"/>
      <c r="H28" s="125"/>
      <c r="I28" s="125"/>
      <c r="J28" s="125"/>
      <c r="K28" s="125"/>
    </row>
    <row r="29" spans="1:14" ht="15" x14ac:dyDescent="0.2">
      <c r="A29" s="125" t="s">
        <v>185</v>
      </c>
      <c r="B29" s="125"/>
      <c r="C29" s="125"/>
      <c r="D29" s="125"/>
      <c r="E29" s="125"/>
      <c r="F29" s="125"/>
      <c r="G29" s="125"/>
      <c r="H29" s="125"/>
      <c r="I29" s="125"/>
      <c r="J29" s="125"/>
      <c r="K29" s="125"/>
    </row>
    <row r="33" spans="5:5" x14ac:dyDescent="0.2">
      <c r="E33" s="94"/>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Metrics</vt:lpstr>
      <vt:lpstr>Milestones</vt:lpstr>
      <vt:lpstr>Manpower Q116</vt:lpstr>
      <vt:lpstr>Manpower Q216</vt:lpstr>
      <vt:lpstr>Manpower Q316</vt:lpstr>
      <vt:lpstr>Manpower Q416</vt:lpstr>
      <vt:lpstr>Manpower Q117</vt:lpstr>
      <vt:lpstr>Manpower Q217</vt:lpstr>
      <vt:lpstr>Manpower Q317</vt:lpstr>
      <vt:lpstr>Narrative Q116</vt:lpstr>
      <vt:lpstr>Narrative Q216</vt:lpstr>
      <vt:lpstr>Narrative Q316</vt:lpstr>
      <vt:lpstr>Narrative Q416</vt:lpstr>
      <vt:lpstr>Narrative Q117</vt:lpstr>
      <vt:lpstr>Narrative Q217</vt:lpstr>
      <vt:lpstr>Narrative Q317</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2016-05-25T14:55:34Z</cp:lastPrinted>
  <dcterms:created xsi:type="dcterms:W3CDTF">2006-07-17T09:56:01Z</dcterms:created>
  <dcterms:modified xsi:type="dcterms:W3CDTF">2018-01-03T14:25:42Z</dcterms:modified>
</cp:coreProperties>
</file>